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Смета" sheetId="6" r:id="rId6"/>
  </sheets>
  <definedNames>
    <definedName name="_xlnm.Print_Area" localSheetId="0">'Лист1'!$A$1:$FE$45</definedName>
    <definedName name="_xlnm.Print_Area" localSheetId="1">'Лист2'!$A$1:$F$35</definedName>
    <definedName name="_xlnm.Print_Area" localSheetId="2">'Лист3'!$A$1:$E$124</definedName>
    <definedName name="_xlnm.Print_Area" localSheetId="3">'Лист4'!$A$1:$E$94</definedName>
    <definedName name="_xlnm.Print_Area" localSheetId="4">'Лист5'!$A$1:$E$80</definedName>
    <definedName name="_xlnm.Print_Area" localSheetId="5">'Смета'!$A$1:$H$188</definedName>
  </definedNames>
  <calcPr fullCalcOnLoad="1"/>
</workbook>
</file>

<file path=xl/sharedStrings.xml><?xml version="1.0" encoding="utf-8"?>
<sst xmlns="http://schemas.openxmlformats.org/spreadsheetml/2006/main" count="731" uniqueCount="441">
  <si>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</si>
  <si>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</si>
  <si>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</si>
  <si>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</si>
  <si>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</si>
  <si>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Среднемесячный размер оплаты труда на одного работника, руб.</t>
  </si>
  <si>
    <t>всего</t>
  </si>
  <si>
    <t>в том числе: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</si>
  <si>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</si>
  <si>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</si>
  <si>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</si>
  <si>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</si>
  <si>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Количество</t>
  </si>
  <si>
    <t>Наименование государственного внебюджетного фонда</t>
  </si>
  <si>
    <t>1.1.</t>
  </si>
  <si>
    <t>Страховые взносы в Пенсионный фонд Российской Федерации, всего</t>
  </si>
  <si>
    <t>по ставке 10,0 %</t>
  </si>
  <si>
    <t>1.2.</t>
  </si>
  <si>
    <t>1.3.</t>
  </si>
  <si>
    <t>2.1.</t>
  </si>
  <si>
    <t>2.2.</t>
  </si>
  <si>
    <t>2.3.</t>
  </si>
  <si>
    <t>2.4.</t>
  </si>
  <si>
    <t>2.5.</t>
  </si>
  <si>
    <t>Наименование показателя</t>
  </si>
  <si>
    <t>2. Расчеты (обоснования) расходов на социальные и иные выплаты населению</t>
  </si>
  <si>
    <t>Общая сумма</t>
  </si>
  <si>
    <t>выплат, руб.</t>
  </si>
  <si>
    <t>(гр. 3×гр. 4)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</si>
  <si>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</si>
  <si>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</si>
  <si>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норма в год с учетом средней</t>
  </si>
  <si>
    <t>Расходы за использование сети Интернет</t>
  </si>
  <si>
    <t>Измерение контуров заземления</t>
  </si>
  <si>
    <t>Утилизация</t>
  </si>
  <si>
    <t>Лабораторные исследования РосПотребнадзор</t>
  </si>
  <si>
    <t>Бумага и канцелярские принадлежности</t>
  </si>
  <si>
    <t>налог на имущество</t>
  </si>
  <si>
    <t>земельный налог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</si>
  <si>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</si>
  <si>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БК РФ</t>
  </si>
  <si>
    <t>244</t>
  </si>
  <si>
    <t>Поступления от оказания услуг (выполнения работ) на платной основе и от иной приносящей доход деятельности</t>
  </si>
  <si>
    <t>Итого на выполнение муниципального задания:</t>
  </si>
  <si>
    <t>в том числе за счет субвенции:</t>
  </si>
  <si>
    <t>Итого субсидии на иные цели</t>
  </si>
  <si>
    <t>Итого по ПДД</t>
  </si>
  <si>
    <t>ВСЕГО</t>
  </si>
  <si>
    <t>договор</t>
  </si>
  <si>
    <t>проплата</t>
  </si>
  <si>
    <t>ПЛАН  РАСХОДОВ</t>
  </si>
  <si>
    <t>(наименование учреждения)</t>
  </si>
  <si>
    <t>Раздел, подраздел</t>
  </si>
  <si>
    <t>0702</t>
  </si>
  <si>
    <t>Целевая статья</t>
  </si>
  <si>
    <t>-</t>
  </si>
  <si>
    <t>Наименование</t>
  </si>
  <si>
    <t>КОСГУ</t>
  </si>
  <si>
    <t>КВР 100  "Расходы на выплату персоналу"</t>
  </si>
  <si>
    <t>Заработная плата</t>
  </si>
  <si>
    <t>Заработная плата (субсидия)</t>
  </si>
  <si>
    <r>
      <t>Прочие выплаты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</si>
  <si>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t>в том числе:  суточные при командировках</t>
  </si>
  <si>
    <t>другие выплаты</t>
  </si>
  <si>
    <t>Начисления на фонд оплаты труда</t>
  </si>
  <si>
    <t>оплата проезда по служебным командировкам</t>
  </si>
  <si>
    <t>найм жилых помещений при служебных командировках</t>
  </si>
  <si>
    <t>ИТОГО зарплата с начислениями (211 + 213)</t>
  </si>
  <si>
    <t>Х</t>
  </si>
  <si>
    <t>ИТОГО по КВР 110</t>
  </si>
  <si>
    <r>
      <t>Услуги связи</t>
    </r>
    <r>
      <rPr>
        <sz val="10"/>
        <rFont val="Times New Roman"/>
        <family val="1"/>
      </rPr>
      <t>, всего, в том числе:</t>
    </r>
  </si>
  <si>
    <t>оплата услуг почтовой связи (в том числе оплата услуг фельдъегерской и специальной связи);</t>
  </si>
  <si>
    <t>Закупка работ и услуг в сфере информационно-коммуникационных технологий</t>
  </si>
  <si>
    <t>из них: абонентская и повременная оплата телефонной связи (местная, междугородная, международная)</t>
  </si>
  <si>
    <t xml:space="preserve">             мобильная связь</t>
  </si>
  <si>
    <t xml:space="preserve">             расходы на использование сети Интернет</t>
  </si>
  <si>
    <t xml:space="preserve">             прочее</t>
  </si>
  <si>
    <t>другое</t>
  </si>
  <si>
    <r>
      <t>Транспортные услуги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</si>
  <si>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t>в том числе: найм транспортных средств</t>
  </si>
  <si>
    <r>
      <t>Коммунальные услуги</t>
    </r>
    <r>
      <rPr>
        <sz val="10"/>
        <rFont val="Times New Roman"/>
        <family val="1"/>
      </rPr>
      <t>, всего</t>
    </r>
  </si>
  <si>
    <t>в том числе: оплата отопления</t>
  </si>
  <si>
    <t xml:space="preserve">оплата потребления газа </t>
  </si>
  <si>
    <t>оплата потребления электроэнергии</t>
  </si>
  <si>
    <t>оплата водоснабжения, канализации</t>
  </si>
  <si>
    <t>оплата прочих энергоносителей</t>
  </si>
  <si>
    <r>
      <t>Арендная плата за пользование имуществом</t>
    </r>
    <r>
      <rPr>
        <sz val="10"/>
        <rFont val="Times New Roman"/>
        <family val="1"/>
      </rPr>
      <t>, всего</t>
    </r>
  </si>
  <si>
    <t>в том числе: аренда помещений</t>
  </si>
  <si>
    <t>Услуги по содержанию имущества</t>
  </si>
  <si>
    <t>в том числе: содержание в чистоте помещений, зданий. дворов</t>
  </si>
  <si>
    <t>профдезинфекция</t>
  </si>
  <si>
    <t>техническое обслуживание оборудования (поверки счетчиков, вентканалов)</t>
  </si>
  <si>
    <t>измерение контуров заземления</t>
  </si>
  <si>
    <t>гидравлика</t>
  </si>
  <si>
    <t>утилизация</t>
  </si>
  <si>
    <t>обслуживание тревожной кнопки</t>
  </si>
  <si>
    <t>обслуживание противопожарной сигнализации</t>
  </si>
  <si>
    <t>заправка картриджа</t>
  </si>
  <si>
    <t>ремонт авто</t>
  </si>
  <si>
    <t>проверка и калибровка тахографа</t>
  </si>
  <si>
    <t>предрейсовый осмотр  авто</t>
  </si>
  <si>
    <t>ремонт оргтехники</t>
  </si>
  <si>
    <t>лабораторные исследования РосПотребнадзор</t>
  </si>
  <si>
    <r>
      <t>Прочие услуги</t>
    </r>
    <r>
      <rPr>
        <sz val="10"/>
        <rFont val="Times New Roman"/>
        <family val="1"/>
      </rPr>
      <t>, всего</t>
    </r>
  </si>
  <si>
    <t>тревожная кнопка</t>
  </si>
  <si>
    <t>медицинский осмотр</t>
  </si>
  <si>
    <t xml:space="preserve">питание (льготники) </t>
  </si>
  <si>
    <t>подписка</t>
  </si>
  <si>
    <t>учеба</t>
  </si>
  <si>
    <r>
      <t>Прочие расходы</t>
    </r>
    <r>
      <rPr>
        <sz val="10"/>
        <rFont val="Times New Roman"/>
        <family val="1"/>
      </rPr>
      <t>, всего</t>
    </r>
  </si>
  <si>
    <t>из них: налог на имущество</t>
  </si>
  <si>
    <t>экологический взнос</t>
  </si>
  <si>
    <t>грамоты</t>
  </si>
  <si>
    <r>
      <t>Увеличение стоимости основных средств</t>
    </r>
    <r>
      <rPr>
        <sz val="10"/>
        <rFont val="Times New Roman"/>
        <family val="1"/>
      </rPr>
      <t>, всего</t>
    </r>
  </si>
  <si>
    <t xml:space="preserve">в том числе:                                                                              </t>
  </si>
  <si>
    <t xml:space="preserve">мебель </t>
  </si>
  <si>
    <t>спортивный инвентарь (8050003)</t>
  </si>
  <si>
    <t>бытовая техника</t>
  </si>
  <si>
    <t>Закупка товаров в сфере информационно-коммуникационных технологий</t>
  </si>
  <si>
    <t>их них: компьютерная техника</t>
  </si>
  <si>
    <t xml:space="preserve">             оргтехника</t>
  </si>
  <si>
    <t xml:space="preserve">             телефонные аппараты (в т.ч. мобильные)</t>
  </si>
  <si>
    <t>книги (субвенция)</t>
  </si>
  <si>
    <t>информационные знаки и ПБ фотолюминисцентные</t>
  </si>
  <si>
    <t>жалюзи</t>
  </si>
  <si>
    <t>электроборудование, светильники</t>
  </si>
  <si>
    <r>
      <t>Увеличение стоимости материальных запасов</t>
    </r>
    <r>
      <rPr>
        <sz val="10"/>
        <rFont val="Times New Roman"/>
        <family val="1"/>
      </rPr>
      <t>, всего</t>
    </r>
  </si>
  <si>
    <t>моющие и дезинфицирующие</t>
  </si>
  <si>
    <t>строительные материалы</t>
  </si>
  <si>
    <t>окна,двери</t>
  </si>
  <si>
    <t>бутылированная вода</t>
  </si>
  <si>
    <t>бензин</t>
  </si>
  <si>
    <t>масло, тосол, дисцилированая вода</t>
  </si>
  <si>
    <t>запчасти</t>
  </si>
  <si>
    <t>дизтопливо</t>
  </si>
  <si>
    <t>посуда</t>
  </si>
  <si>
    <t>сантехника</t>
  </si>
  <si>
    <t>чернила для принтера</t>
  </si>
  <si>
    <t>мягкий инвентарь</t>
  </si>
  <si>
    <t>уголь</t>
  </si>
  <si>
    <t>продукты питания</t>
  </si>
  <si>
    <t>спец.одежда</t>
  </si>
  <si>
    <t>противопожарный инвентарь</t>
  </si>
  <si>
    <t>Электротовары</t>
  </si>
  <si>
    <t>КВР 830 "Исполнение судебных актов"</t>
  </si>
  <si>
    <t>Оплата судебных исков</t>
  </si>
  <si>
    <t>КВР 850 "Уплата налогов, сборов и иных платежей"</t>
  </si>
  <si>
    <t>Налоги</t>
  </si>
  <si>
    <t>прочие налоги</t>
  </si>
  <si>
    <t>ВСЕГО РАСХОДОВ</t>
  </si>
  <si>
    <t>4-ка</t>
  </si>
  <si>
    <t>5-ка</t>
  </si>
  <si>
    <t>питание (1-4кл) субвенция</t>
  </si>
  <si>
    <t xml:space="preserve">2-ка </t>
  </si>
  <si>
    <t>ПДД (возмещение ком.услуг)</t>
  </si>
  <si>
    <t>2-ка</t>
  </si>
  <si>
    <t>возмещение  ком.услуг (электроснабжение)</t>
  </si>
  <si>
    <t>возмещение  ком.услуг (водоснабжение)</t>
  </si>
  <si>
    <t>Расчеты (обоснования) к плану финансово-хозяйственной деятельности государственного (муниципального) учреждения</t>
  </si>
  <si>
    <t xml:space="preserve">Источник финансового обеспечения </t>
  </si>
  <si>
    <t>№ 
п/п</t>
  </si>
  <si>
    <t>Установленная численность, единиц</t>
  </si>
  <si>
    <t>Ежемесячная надбавка к должностному окладу, %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</si>
  <si>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</si>
  <si>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</si>
  <si>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</si>
  <si>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</si>
  <si>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месяц ( без стимулир)</t>
  </si>
  <si>
    <t>фонд оплаты труда в год без стимулирующих</t>
  </si>
  <si>
    <t>норма в месяц с учетом средней оплаты</t>
  </si>
  <si>
    <t>фонд стимулирующих за год</t>
  </si>
  <si>
    <t>стимулир на человека</t>
  </si>
  <si>
    <t>фонд оплаты труда за год + стимулирующие</t>
  </si>
  <si>
    <t>1</t>
  </si>
  <si>
    <t>Директор</t>
  </si>
  <si>
    <t>2</t>
  </si>
  <si>
    <t>Заместитель директора</t>
  </si>
  <si>
    <t>3</t>
  </si>
  <si>
    <t>Педагог-организатор</t>
  </si>
  <si>
    <t>4</t>
  </si>
  <si>
    <t>Педагог-психолог</t>
  </si>
  <si>
    <t>5</t>
  </si>
  <si>
    <t>Педагог дополнительного образования</t>
  </si>
  <si>
    <t>6</t>
  </si>
  <si>
    <t>Педагог-библиотекарь</t>
  </si>
  <si>
    <t>7</t>
  </si>
  <si>
    <t>Учитель</t>
  </si>
  <si>
    <t>8</t>
  </si>
  <si>
    <t>9</t>
  </si>
  <si>
    <t>Воспитатель</t>
  </si>
  <si>
    <t>10</t>
  </si>
  <si>
    <t>11</t>
  </si>
  <si>
    <t>12</t>
  </si>
  <si>
    <t>Специалист по охране труда</t>
  </si>
  <si>
    <t>13</t>
  </si>
  <si>
    <t>Делопроизводитель</t>
  </si>
  <si>
    <t>14</t>
  </si>
  <si>
    <t>Секретарь</t>
  </si>
  <si>
    <t>15</t>
  </si>
  <si>
    <t xml:space="preserve">Лаборант </t>
  </si>
  <si>
    <t>16</t>
  </si>
  <si>
    <t>Убощик служебных помещений</t>
  </si>
  <si>
    <t>17</t>
  </si>
  <si>
    <t>Рабочий по комплексному обслуживанию и ремонту зданий</t>
  </si>
  <si>
    <t>18</t>
  </si>
  <si>
    <t>Гардеробщик</t>
  </si>
  <si>
    <t xml:space="preserve">Сторож </t>
  </si>
  <si>
    <t>Дворник</t>
  </si>
  <si>
    <t xml:space="preserve">Итого: </t>
  </si>
  <si>
    <t xml:space="preserve">Код видов расходов </t>
  </si>
  <si>
    <t>остаток</t>
  </si>
  <si>
    <t>№ п/п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</si>
  <si>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</si>
  <si>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</si>
  <si>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</si>
  <si>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3×гр. 4×гр.5)</t>
  </si>
  <si>
    <t>Проезд</t>
  </si>
  <si>
    <t>119 КОСГУ (213)</t>
  </si>
  <si>
    <t>Размер базы для начисления страховых взносов, руб.</t>
  </si>
  <si>
    <t>Сумма взносов, руб.</t>
  </si>
  <si>
    <t>в том числе: по ставке 22,0 %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</si>
  <si>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</si>
  <si>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</si>
  <si>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2,9 %</t>
  </si>
  <si>
    <t>с применением ставки взносов в Фонд социального страхования Российской Федерации по ставке 0,0 %</t>
  </si>
  <si>
    <t>обязательное социальное страхование от несчастных случаев на производстве и профессиональных заболеваний по ставке 0,2 %</t>
  </si>
  <si>
    <t>обязательное социальное страхование от несчастных случаев на производстве и профессиональных заболеваний по ставке 0,_ %*</t>
  </si>
  <si>
    <t>Страховые взносы в Федеральный фонд обязательного медицинского страхования, всего (по ставке 5,1 %)</t>
  </si>
  <si>
    <t>Налоговая база, руб.</t>
  </si>
  <si>
    <t>Ставка налога, %</t>
  </si>
  <si>
    <t>Сумма исчисленного налога, подлежащего уплате, руб.               (гр. 3×гр. 4/100)</t>
  </si>
  <si>
    <t>6.1. Расчет (обоснование) расходов на оплату прочих работ, услуг</t>
  </si>
  <si>
    <t>Количество договоров</t>
  </si>
  <si>
    <t>Стоимость услуги, руб.</t>
  </si>
  <si>
    <t>Средняя стоимость, руб.</t>
  </si>
  <si>
    <t>Сумма руб. (гр. 2×гр. 3)</t>
  </si>
  <si>
    <t>Количество платежей в год</t>
  </si>
  <si>
    <t>Стоимость за единицу, руб.</t>
  </si>
  <si>
    <t>Тариф (с учетом НДС), руб.</t>
  </si>
  <si>
    <t>Сумма, руб. (гр. 4×гр. 5×гр. 6)</t>
  </si>
  <si>
    <t>Стоимость работ (услуг), руб.</t>
  </si>
  <si>
    <t>Размер потребления ресурсов</t>
  </si>
  <si>
    <t>Количество работ (услуг)</t>
  </si>
  <si>
    <t>Сумма, руб. (гр. 2×гр. 3)</t>
  </si>
  <si>
    <t xml:space="preserve"> (КОСГУ 310)</t>
  </si>
  <si>
    <t>853 (КОСГУ 290)</t>
  </si>
  <si>
    <t>по 1С</t>
  </si>
  <si>
    <t>Стоимость, руб.</t>
  </si>
  <si>
    <t>851 (КОСГУ 291)</t>
  </si>
  <si>
    <t>852 (КОСГУ 291)</t>
  </si>
  <si>
    <t>Страхование ДПД</t>
  </si>
  <si>
    <t>страхование ДПД</t>
  </si>
  <si>
    <t>РБ</t>
  </si>
  <si>
    <t>МБ</t>
  </si>
  <si>
    <t xml:space="preserve">учебно-бланочная продукция </t>
  </si>
  <si>
    <t>Соглашение</t>
  </si>
  <si>
    <t>стенды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</si>
  <si>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</si>
  <si>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</si>
  <si>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</si>
  <si>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</si>
  <si>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1. Расчеты (обоснования) выплат персоналу (строка 210)</t>
  </si>
  <si>
    <t>111</t>
  </si>
  <si>
    <t>Должность, 
группа должностей</t>
  </si>
  <si>
    <t>Районный коэффициент</t>
  </si>
  <si>
    <t>Муниципальное общеобразовательное учреждение " Школа № 3" города Алушты</t>
  </si>
  <si>
    <t>Потребность на 2015 год</t>
  </si>
  <si>
    <t xml:space="preserve">Отклонение </t>
  </si>
  <si>
    <t>план</t>
  </si>
  <si>
    <t>руб (гр.3 - гр.4)</t>
  </si>
  <si>
    <t>рублей</t>
  </si>
  <si>
    <t xml:space="preserve"> рублей</t>
  </si>
  <si>
    <t>вывоз ТБО</t>
  </si>
  <si>
    <t>обслуживание системы видеонаблюдения</t>
  </si>
  <si>
    <t>гос.пошлина за выдачу свидетельства на аккредитацию</t>
  </si>
  <si>
    <t xml:space="preserve">              прочее</t>
  </si>
  <si>
    <t>пожарные щиты</t>
  </si>
  <si>
    <t>приобретение огнетушителей, противопожарный инвентарь</t>
  </si>
  <si>
    <t>в том числе:                                                                                  бумага и канцелярские принадлежности</t>
  </si>
  <si>
    <r>
      <rPr>
        <b/>
        <sz val="10"/>
        <rFont val="Times New Roman"/>
        <family val="1"/>
      </rPr>
      <t>Абонентская и повременная оплата телефонной связи</t>
    </r>
    <r>
      <rPr>
        <b/>
        <i/>
        <sz val="10"/>
        <rFont val="Times New Roman"/>
        <family val="1"/>
      </rPr>
      <t xml:space="preserve"> </t>
    </r>
  </si>
  <si>
    <t>Почтовые услуги</t>
  </si>
  <si>
    <t xml:space="preserve">Оплата отопления </t>
  </si>
  <si>
    <t>Оплата потребления электроэнергии</t>
  </si>
  <si>
    <t>Оплата водоснабжения</t>
  </si>
  <si>
    <r>
      <rPr>
        <b/>
        <sz val="10"/>
        <rFont val="Times New Roman"/>
        <family val="1"/>
      </rPr>
      <t>Профдезинфекция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</si>
  <si>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Вывоз ТКО</t>
    </r>
    <r>
      <rPr>
        <sz val="10"/>
        <rFont val="Times New Roman"/>
        <family val="1"/>
      </rPr>
      <t xml:space="preserve"> </t>
    </r>
  </si>
  <si>
    <t>Техническое обслуживание оборудования(поверка счетчиков и вентканалов)</t>
  </si>
  <si>
    <r>
      <rPr>
        <b/>
        <sz val="10"/>
        <rFont val="Times New Roman"/>
        <family val="1"/>
      </rPr>
      <t>Гидравлика</t>
    </r>
    <r>
      <rPr>
        <sz val="10"/>
        <rFont val="Times New Roman"/>
        <family val="1"/>
      </rPr>
      <t xml:space="preserve"> </t>
    </r>
  </si>
  <si>
    <t>Техническое обслуживание системы видеонаблюдения</t>
  </si>
  <si>
    <t>Обслуживание тревожной кнопки</t>
  </si>
  <si>
    <r>
      <rPr>
        <b/>
        <sz val="10"/>
        <rFont val="Times New Roman"/>
        <family val="1"/>
      </rPr>
      <t>Медицинский осмотр сотрудников</t>
    </r>
    <r>
      <rPr>
        <sz val="10"/>
        <rFont val="Times New Roman"/>
        <family val="1"/>
      </rPr>
      <t xml:space="preserve"> </t>
    </r>
  </si>
  <si>
    <t>Питание (льготники)</t>
  </si>
  <si>
    <t xml:space="preserve">Учеба </t>
  </si>
  <si>
    <t>учебно-наглядные пособия(СУБВЕНЦИЯ)</t>
  </si>
  <si>
    <t xml:space="preserve"> (КОСГУ 346)</t>
  </si>
  <si>
    <t>Страхование</t>
  </si>
  <si>
    <t>Наушники</t>
  </si>
  <si>
    <t>112 КОСГУ (226)</t>
  </si>
  <si>
    <t>Охрана в дневное время</t>
  </si>
  <si>
    <t xml:space="preserve"> (КОСГУ 349)</t>
  </si>
  <si>
    <t>Аттестаты (субвенция)</t>
  </si>
  <si>
    <t>Изготовление ключа электронной подписи( СБИС)</t>
  </si>
  <si>
    <t>Спортивное оборудование(СУБВЕНЦИЯ)</t>
  </si>
  <si>
    <t>Регистрация в системе СБИС</t>
  </si>
  <si>
    <t>ПДД оказание платных услуг)</t>
  </si>
  <si>
    <t xml:space="preserve"> (КОСГУ 344)</t>
  </si>
  <si>
    <t>Строительные материалы</t>
  </si>
  <si>
    <t>Питание (льготники 5-11 кл)</t>
  </si>
  <si>
    <t>дверные блоки</t>
  </si>
  <si>
    <t>Журнально-бланочная продукция (местный  бюджет)</t>
  </si>
  <si>
    <t>Цилиндровые механизмы</t>
  </si>
  <si>
    <t>Дверные доводчики</t>
  </si>
  <si>
    <t>питание (льготники) 5-11 классы</t>
  </si>
  <si>
    <t>окна металлопластиковые в гардеробную</t>
  </si>
  <si>
    <t>Хозтовары</t>
  </si>
  <si>
    <t>Обеспечение функционирования видеоконференцсвязи</t>
  </si>
  <si>
    <t>Лампы люминисцентные</t>
  </si>
  <si>
    <t>Услуги видеоконференцсвязи</t>
  </si>
  <si>
    <t>Плата за негативное воздействие на окружающую среду</t>
  </si>
  <si>
    <t>сверен</t>
  </si>
  <si>
    <t>Услуги системы  фильтрации доступа к сайтам</t>
  </si>
  <si>
    <t>Услуги  системы фильтрации доступ к сайтам</t>
  </si>
  <si>
    <t>Социальный педагог</t>
  </si>
  <si>
    <t>20</t>
  </si>
  <si>
    <t>Заместитель директора по административно-хозяйственной деятельности</t>
  </si>
  <si>
    <t>Остаток денежных средств 2019 г.</t>
  </si>
  <si>
    <t>Остаток денежных средств 2019 (субвенция)</t>
  </si>
  <si>
    <t>Техническое обслуживание ДГУ</t>
  </si>
  <si>
    <t>Шкаф пожарный</t>
  </si>
  <si>
    <t>Техническое обслуживание тревожной кнопки</t>
  </si>
  <si>
    <t>Термометры бесконтактные</t>
  </si>
  <si>
    <t>Моющие и дезинфицирующие средства</t>
  </si>
  <si>
    <t>Учебно-бланочная продукция (республиканский бюджет)</t>
  </si>
  <si>
    <t>Водомер</t>
  </si>
  <si>
    <t>Горячее питание (федеральный бюджет)</t>
  </si>
  <si>
    <t xml:space="preserve">ФБ "5" </t>
  </si>
  <si>
    <t>Вознаграждение за классное руководство 5 ф.б. 111/211</t>
  </si>
  <si>
    <t>Вознаграждение за классное руководство 5 ф.б. 119/213</t>
  </si>
  <si>
    <t>Оплата за металлолом</t>
  </si>
  <si>
    <t>Огнезащитная обработка деревянных конструкций</t>
  </si>
  <si>
    <t>остаток для заключения договоров</t>
  </si>
  <si>
    <t>остаток по договору</t>
  </si>
  <si>
    <t>остаток налички</t>
  </si>
  <si>
    <t xml:space="preserve">остаток по договорам </t>
  </si>
  <si>
    <t>пеня (налог на доходы, налог на прибыль)</t>
  </si>
  <si>
    <t>Декларация за негативное воздействие на окр.среду</t>
  </si>
  <si>
    <t>6. Расчет (обоснование) расходов на закупку товаров, работ, услуг</t>
  </si>
  <si>
    <t>в том числе за счет муниципального бюджета :</t>
  </si>
  <si>
    <t>6. Расчет (обоснование) расходов на закупку товаров, работ, услуг в целях капитального ремонта</t>
  </si>
  <si>
    <t xml:space="preserve">1. Расчеты (обоснования) выплат персоналу </t>
  </si>
  <si>
    <t>Заправка картриджа, ремонт оргтехники</t>
  </si>
  <si>
    <t>Перезарядка огнетушителей</t>
  </si>
  <si>
    <t>Услуги по подготовке декларации по негативному воздействию на окружающую среду</t>
  </si>
  <si>
    <t>Перезарядка  огнетушителей</t>
  </si>
  <si>
    <t>Лицензия на получение услуг по использованию программного обеспечения (Субвенция)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</si>
  <si>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</si>
  <si>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"5" 244 (КОСГУ 226)</t>
  </si>
  <si>
    <t xml:space="preserve"> Расчет (обоснование) расходов на закупку товаров, работ, услуг</t>
  </si>
  <si>
    <t>247</t>
  </si>
  <si>
    <r>
      <t>6.2. Расчет (обоснование) расходов на оплату услуг связи</t>
    </r>
    <r>
      <rPr>
        <b/>
        <sz val="12"/>
        <color indexed="10"/>
        <rFont val="Times New Roman"/>
        <family val="1"/>
      </rPr>
      <t xml:space="preserve"> (КОСГУ 221)</t>
    </r>
  </si>
  <si>
    <r>
      <t xml:space="preserve">6.3. Расчет (обоснование) расходов на оплату коммунальных услуг  </t>
    </r>
    <r>
      <rPr>
        <b/>
        <sz val="12"/>
        <color indexed="10"/>
        <rFont val="Times New Roman"/>
        <family val="1"/>
      </rPr>
      <t>(КОСГУ 223)</t>
    </r>
  </si>
  <si>
    <r>
      <t>6.4. Расчет (обоснование) расходов на оплату работ, услуг по содержанию имущества</t>
    </r>
    <r>
      <rPr>
        <b/>
        <sz val="12"/>
        <color indexed="10"/>
        <rFont val="Times New Roman"/>
        <family val="1"/>
      </rPr>
      <t xml:space="preserve"> (КОСГУ 225)</t>
    </r>
  </si>
  <si>
    <r>
      <t xml:space="preserve">6.5. Расчет (обоснование) расходов на оплату прочих работ, услуг  </t>
    </r>
    <r>
      <rPr>
        <b/>
        <sz val="12"/>
        <color indexed="10"/>
        <rFont val="Times New Roman"/>
        <family val="1"/>
      </rPr>
      <t>(КОСГУ 226)</t>
    </r>
  </si>
  <si>
    <r>
      <t xml:space="preserve">6.6. Расчет (обоснование) расходов на оплату страхования  </t>
    </r>
    <r>
      <rPr>
        <b/>
        <sz val="12"/>
        <color indexed="10"/>
        <rFont val="Times New Roman"/>
        <family val="1"/>
      </rPr>
      <t>(КОСГУ 227)</t>
    </r>
  </si>
  <si>
    <t>6.7. Расчет (обоснование) расходов на приобретение основных средств</t>
  </si>
  <si>
    <t>2ПДД (ПДД)</t>
  </si>
  <si>
    <r>
      <t xml:space="preserve">6.1. Расчет (обоснование) расходов на оплату энергоресурсов </t>
    </r>
    <r>
      <rPr>
        <b/>
        <sz val="12"/>
        <color indexed="10"/>
        <rFont val="Times New Roman"/>
        <family val="1"/>
      </rPr>
      <t xml:space="preserve"> (КОСГУ 223)</t>
    </r>
  </si>
  <si>
    <t xml:space="preserve">243 </t>
  </si>
  <si>
    <t xml:space="preserve">6. Расчет (обоснование) расходов на закупку товаров, работ, услуг </t>
  </si>
  <si>
    <t>Насосная станция</t>
  </si>
  <si>
    <t>4 квартал 6105,72</t>
  </si>
  <si>
    <t>4 квартал 9309</t>
  </si>
  <si>
    <t>Продление электронной подписи ФРДО</t>
  </si>
  <si>
    <t>Возмещение по решению суда 244/225</t>
  </si>
  <si>
    <t>Электромонтер</t>
  </si>
  <si>
    <t>Подготовка декларации о потреблении энергетических ресурсов</t>
  </si>
  <si>
    <t>декларация о потреблении энергетических ресурсов</t>
  </si>
  <si>
    <t>термометр бесконтактный</t>
  </si>
  <si>
    <t>Директор                                                                                                          Л.В.Калиброва</t>
  </si>
  <si>
    <t xml:space="preserve"> на 2022 год</t>
  </si>
  <si>
    <t>Установка системы голосового оповещения</t>
  </si>
  <si>
    <t>Дизельное топливо для ДГУ</t>
  </si>
  <si>
    <t>Обследование детей на энтеробиоз</t>
  </si>
  <si>
    <t>ПСД на монтаж автоматической пожарной сигнализации 168 000,00</t>
  </si>
  <si>
    <t>01.01.2022__________________________</t>
  </si>
  <si>
    <t>Услуги по оценке профессиональных рисков</t>
  </si>
  <si>
    <t>СИЗ</t>
  </si>
  <si>
    <t>Остаток денежных средств 2021 г</t>
  </si>
  <si>
    <t>Платные услуги(остаток 2021г)</t>
  </si>
  <si>
    <t>Остаток денежных средств 2021</t>
  </si>
  <si>
    <t>Горячее питание (местный бюджет)</t>
  </si>
  <si>
    <t>Оследование детей на энтеробиоз</t>
  </si>
  <si>
    <t>Подписка</t>
  </si>
  <si>
    <t xml:space="preserve"> (КОСГУ 343)</t>
  </si>
  <si>
    <t xml:space="preserve"> (КОСГУ 345)</t>
  </si>
  <si>
    <t>ПСД на монтаж автоматической пожарной сигнализации</t>
  </si>
  <si>
    <t>Горячее питание (республиканский бюджет)</t>
  </si>
  <si>
    <t>Учебно-наглядные пособия(субвенция), в т.ч. Остаток 2021- 4831,07</t>
  </si>
  <si>
    <t>Установка СКУД</t>
  </si>
  <si>
    <t xml:space="preserve">6.9. Расчет (обоснование) расходов на приобретение горюче-смазочных материалов </t>
  </si>
  <si>
    <t>6.10. Расчет (обоснование) расходов на приобретение строительных  материалов</t>
  </si>
  <si>
    <t>6.11. Расчет (обоснование) расходов на приобретение мягкого инвентаря</t>
  </si>
  <si>
    <t>6.12. Расчет (обоснование) расходов на приобретение  прочих оборотных запасов (материалов)</t>
  </si>
  <si>
    <t>6.13. Расчет (обоснование) расходов на приобретение  прочих материальных запасов однократного применения</t>
  </si>
  <si>
    <t>Медицинский инвентарь</t>
  </si>
  <si>
    <t>6.8. Расчет (обоснование) расходов  на приобретение лекарственных препаратов и материалов,применяемых и медицинских целях</t>
  </si>
  <si>
    <t>Медикаменты и мединвентарь</t>
  </si>
  <si>
    <t xml:space="preserve"> (КОСГУ 341)</t>
  </si>
  <si>
    <t>Мебель  (актовый и читальный зал)</t>
  </si>
  <si>
    <t>Юридические услуги</t>
  </si>
  <si>
    <t>оплата за выброс загрязняющих веществ  в атмосферный воздух</t>
  </si>
  <si>
    <t>Работы по монтажу (пуско-наладке) технических средств охраны тревожной сигнализации</t>
  </si>
  <si>
    <t>612</t>
  </si>
  <si>
    <t>Возврат в бюджет средств субсидии</t>
  </si>
  <si>
    <t>Средства федерального бюджета</t>
  </si>
  <si>
    <t>Средства республиканского бюджета</t>
  </si>
  <si>
    <t>Возврат средств субсидии</t>
  </si>
  <si>
    <t xml:space="preserve"> </t>
  </si>
  <si>
    <t xml:space="preserve">Аттестаты (республиканский бюджет) </t>
  </si>
  <si>
    <t xml:space="preserve">Грамоты,медали (республиканский бюджет) </t>
  </si>
  <si>
    <t>Похвальные листы</t>
  </si>
  <si>
    <t>Питание детей льготных категорий(лагерь дневного пребывания) 5 м.б.244/226</t>
  </si>
  <si>
    <t>Круглосуточная охрана во время проведения ГИА-2022</t>
  </si>
  <si>
    <t>Охрана во время проведения ГИА-2022</t>
  </si>
  <si>
    <t>Мебель и оборудование  (актовый и читальный зал)</t>
  </si>
  <si>
    <t>Оборудование для оснащения медицинского кабинета</t>
  </si>
  <si>
    <t>Услуги по получению лицензии на ПО (ФИС ФРДО)</t>
  </si>
  <si>
    <t>Техническое обслуживание медицинского оборудования</t>
  </si>
  <si>
    <t>Кадастровые работы</t>
  </si>
  <si>
    <t>СОУТ</t>
  </si>
  <si>
    <t>ФИС ФРДО</t>
  </si>
  <si>
    <t>техническое обслуживание медоборудования</t>
  </si>
  <si>
    <t>Единовременная компенсационная выплата учителям, прибывшим на работу в сельские населенные пункты 5 ф.б. (112/212)</t>
  </si>
  <si>
    <t>Единовременная компенсационная выплата учителям, прибывшим на работу в сельские населенные пункты 5 р.б. (112/212)</t>
  </si>
  <si>
    <t>Тех.обслуживание автоматической системы экстренного оповещения</t>
  </si>
  <si>
    <t>Комплекты школьной мебели</t>
  </si>
  <si>
    <t>Ремонт сиситемы видеонаблюдения</t>
  </si>
  <si>
    <t>Ремонт системы видеонаблюдения</t>
  </si>
  <si>
    <t>Печатная продукция(личная карта обучающегося)</t>
  </si>
  <si>
    <t>08.09.2022</t>
  </si>
  <si>
    <t xml:space="preserve">Печатная продукция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</si>
</sst>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[$-FC19]d\ mmmm\ yyyy\ &quot;г.&quot;"/>
    <numFmt numFmtId="191" formatCode="_-* #,##0.000\ _р_._-;\-* #,##0.000\ _р_._-;_-* &quot;-&quot;??\ _р_._-;_-@_-"/>
    <numFmt numFmtId="192" formatCode="#,##0.0"/>
    <numFmt numFmtId="193" formatCode="#,##0.00_ ;\-#,##0.00\ "/>
    <numFmt numFmtId="194" formatCode="_-* #,##0.0\ _р_._-;\-* #,##0.0\ _р_._-;_-* &quot;-&quot;??\ _р_._-;_-@_-"/>
    <numFmt numFmtId="195" formatCode="_-* #,##0\ _р_._-;\-* #,##0\ _р_._-;_-* &quot;-&quot;??\ _р_._-;_-@_-"/>
    <numFmt numFmtId="196" formatCode="0_ ;\-0\ "/>
    <numFmt numFmtId="197" formatCode="#,##0_ ;\-#,##0\ "/>
    <numFmt numFmtId="198" formatCode="_-* #,##0.0000000_р_._-;\-* #,##0.0000000_р_._-;_-* &quot;-&quot;??_р_.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0" borderId="7" applyNumberFormat="0" applyAlignment="0" applyProtection="0"/>
    <xf numFmtId="0" fontId="12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2" xfId="0" applyNumberFormat="1" applyFont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5" borderId="12" xfId="0" applyNumberFormat="1" applyFont="1" applyFill="1" applyBorder="1" applyAlignment="1" applyProtection="1">
      <alignment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9" fillId="25" borderId="15" xfId="0" applyNumberFormat="1" applyFont="1" applyFill="1" applyBorder="1" applyAlignment="1" applyProtection="1">
      <alignment wrapText="1"/>
      <protection/>
    </xf>
    <xf numFmtId="0" fontId="9" fillId="25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4" borderId="12" xfId="0" applyNumberFormat="1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/>
      <protection/>
    </xf>
    <xf numFmtId="0" fontId="9" fillId="26" borderId="12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12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9" fillId="26" borderId="12" xfId="0" applyFont="1" applyFill="1" applyBorder="1" applyAlignment="1" applyProtection="1">
      <alignment wrapText="1"/>
      <protection/>
    </xf>
    <xf numFmtId="0" fontId="9" fillId="0" borderId="12" xfId="0" applyNumberFormat="1" applyFont="1" applyBorder="1" applyAlignment="1" applyProtection="1">
      <alignment wrapText="1"/>
      <protection/>
    </xf>
    <xf numFmtId="0" fontId="8" fillId="0" borderId="19" xfId="0" applyNumberFormat="1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8" fillId="0" borderId="19" xfId="0" applyFont="1" applyFill="1" applyBorder="1" applyAlignment="1" applyProtection="1">
      <alignment wrapText="1"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8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179" fontId="18" fillId="0" borderId="0" xfId="6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179" fontId="19" fillId="0" borderId="0" xfId="6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179" fontId="21" fillId="0" borderId="0" xfId="6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179" fontId="20" fillId="0" borderId="0" xfId="6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center" wrapText="1"/>
    </xf>
    <xf numFmtId="179" fontId="19" fillId="0" borderId="0" xfId="6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179" fontId="19" fillId="0" borderId="13" xfId="6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top"/>
    </xf>
    <xf numFmtId="179" fontId="19" fillId="0" borderId="13" xfId="61" applyFont="1" applyFill="1" applyBorder="1" applyAlignment="1">
      <alignment horizontal="center" vertical="top"/>
    </xf>
    <xf numFmtId="179" fontId="19" fillId="0" borderId="0" xfId="6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179" fontId="22" fillId="0" borderId="13" xfId="61" applyFont="1" applyFill="1" applyBorder="1" applyAlignment="1">
      <alignment horizontal="center" vertical="center"/>
    </xf>
    <xf numFmtId="179" fontId="19" fillId="0" borderId="13" xfId="61" applyFont="1" applyFill="1" applyBorder="1" applyAlignment="1">
      <alignment horizontal="left" vertical="center"/>
    </xf>
    <xf numFmtId="179" fontId="19" fillId="0" borderId="0" xfId="6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179" fontId="13" fillId="0" borderId="13" xfId="61" applyFont="1" applyFill="1" applyBorder="1" applyAlignment="1">
      <alignment horizontal="left" vertical="center"/>
    </xf>
    <xf numFmtId="179" fontId="22" fillId="0" borderId="13" xfId="61" applyFont="1" applyFill="1" applyBorder="1" applyAlignment="1">
      <alignment horizontal="left" vertical="center"/>
    </xf>
    <xf numFmtId="179" fontId="22" fillId="0" borderId="0" xfId="61" applyFont="1" applyFill="1" applyBorder="1" applyAlignment="1">
      <alignment horizontal="left" vertical="center"/>
    </xf>
    <xf numFmtId="43" fontId="19" fillId="0" borderId="0" xfId="0" applyNumberFormat="1" applyFont="1" applyFill="1" applyBorder="1" applyAlignment="1">
      <alignment horizontal="left"/>
    </xf>
    <xf numFmtId="179" fontId="22" fillId="0" borderId="0" xfId="61" applyFont="1" applyFill="1" applyBorder="1" applyAlignment="1">
      <alignment horizontal="left"/>
    </xf>
    <xf numFmtId="198" fontId="19" fillId="0" borderId="0" xfId="61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9" fontId="3" fillId="0" borderId="0" xfId="63" applyFont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63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8" fillId="0" borderId="23" xfId="61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67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79" fontId="8" fillId="0" borderId="13" xfId="63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93" fontId="8" fillId="0" borderId="13" xfId="63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79" fontId="68" fillId="0" borderId="13" xfId="63" applyFont="1" applyBorder="1" applyAlignment="1">
      <alignment horizontal="center" vertical="center"/>
    </xf>
    <xf numFmtId="10" fontId="6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/>
    </xf>
    <xf numFmtId="4" fontId="8" fillId="27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93" fontId="8" fillId="0" borderId="23" xfId="63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" fontId="9" fillId="27" borderId="0" xfId="0" applyNumberFormat="1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left" vertical="center"/>
    </xf>
    <xf numFmtId="0" fontId="9" fillId="27" borderId="0" xfId="0" applyFont="1" applyFill="1" applyBorder="1" applyAlignment="1">
      <alignment horizontal="right" vertical="center"/>
    </xf>
    <xf numFmtId="0" fontId="9" fillId="27" borderId="0" xfId="0" applyFont="1" applyFill="1" applyBorder="1" applyAlignment="1">
      <alignment horizontal="center" vertical="center"/>
    </xf>
    <xf numFmtId="0" fontId="8" fillId="27" borderId="0" xfId="0" applyFont="1" applyFill="1" applyAlignment="1">
      <alignment horizontal="left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13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27" borderId="23" xfId="0" applyFont="1" applyFill="1" applyBorder="1" applyAlignment="1">
      <alignment vertical="center"/>
    </xf>
    <xf numFmtId="0" fontId="9" fillId="27" borderId="0" xfId="0" applyFont="1" applyFill="1" applyAlignment="1">
      <alignment horizontal="left" vertical="center"/>
    </xf>
    <xf numFmtId="179" fontId="8" fillId="0" borderId="0" xfId="61" applyFont="1" applyFill="1" applyBorder="1" applyAlignment="1">
      <alignment vertical="center"/>
    </xf>
    <xf numFmtId="179" fontId="8" fillId="0" borderId="0" xfId="61" applyFont="1" applyAlignment="1">
      <alignment horizontal="left" vertical="center"/>
    </xf>
    <xf numFmtId="0" fontId="8" fillId="27" borderId="25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horizontal="right" vertical="center"/>
    </xf>
    <xf numFmtId="2" fontId="8" fillId="0" borderId="30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9" fillId="28" borderId="25" xfId="0" applyFont="1" applyFill="1" applyBorder="1" applyAlignment="1">
      <alignment horizontal="right" vertical="center"/>
    </xf>
    <xf numFmtId="0" fontId="9" fillId="28" borderId="23" xfId="0" applyFont="1" applyFill="1" applyBorder="1" applyAlignment="1">
      <alignment horizontal="center" vertical="center"/>
    </xf>
    <xf numFmtId="0" fontId="9" fillId="28" borderId="25" xfId="0" applyFont="1" applyFill="1" applyBorder="1" applyAlignment="1">
      <alignment horizontal="center" vertical="center"/>
    </xf>
    <xf numFmtId="4" fontId="9" fillId="28" borderId="23" xfId="0" applyNumberFormat="1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right" vertical="center"/>
    </xf>
    <xf numFmtId="2" fontId="9" fillId="28" borderId="24" xfId="0" applyNumberFormat="1" applyFont="1" applyFill="1" applyBorder="1" applyAlignment="1">
      <alignment horizontal="center" vertical="center"/>
    </xf>
    <xf numFmtId="2" fontId="9" fillId="28" borderId="22" xfId="0" applyNumberFormat="1" applyFont="1" applyFill="1" applyBorder="1" applyAlignment="1">
      <alignment horizontal="center" vertical="center"/>
    </xf>
    <xf numFmtId="4" fontId="9" fillId="28" borderId="24" xfId="61" applyNumberFormat="1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left" vertical="center"/>
    </xf>
    <xf numFmtId="4" fontId="9" fillId="28" borderId="13" xfId="0" applyNumberFormat="1" applyFont="1" applyFill="1" applyBorder="1" applyAlignment="1">
      <alignment horizontal="center" vertical="center"/>
    </xf>
    <xf numFmtId="4" fontId="9" fillId="28" borderId="26" xfId="0" applyNumberFormat="1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center" vertical="center"/>
    </xf>
    <xf numFmtId="0" fontId="9" fillId="28" borderId="26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right" vertical="center"/>
    </xf>
    <xf numFmtId="193" fontId="9" fillId="28" borderId="13" xfId="63" applyNumberFormat="1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right" vertical="center"/>
    </xf>
    <xf numFmtId="193" fontId="9" fillId="28" borderId="25" xfId="63" applyNumberFormat="1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vertical="center"/>
    </xf>
    <xf numFmtId="4" fontId="9" fillId="28" borderId="13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179" fontId="70" fillId="29" borderId="0" xfId="63" applyFont="1" applyFill="1" applyBorder="1" applyAlignment="1">
      <alignment horizontal="left" vertical="center"/>
    </xf>
    <xf numFmtId="179" fontId="70" fillId="29" borderId="0" xfId="63" applyFont="1" applyFill="1" applyBorder="1" applyAlignment="1">
      <alignment horizontal="center" vertical="center"/>
    </xf>
    <xf numFmtId="0" fontId="5" fillId="29" borderId="0" xfId="0" applyFont="1" applyFill="1" applyAlignment="1">
      <alignment horizontal="left" vertical="center"/>
    </xf>
    <xf numFmtId="179" fontId="7" fillId="29" borderId="0" xfId="63" applyFont="1" applyFill="1" applyBorder="1" applyAlignment="1">
      <alignment horizontal="left" vertical="center"/>
    </xf>
    <xf numFmtId="179" fontId="7" fillId="29" borderId="0" xfId="63" applyFont="1" applyFill="1" applyBorder="1" applyAlignment="1">
      <alignment horizontal="center" vertical="center"/>
    </xf>
    <xf numFmtId="0" fontId="7" fillId="29" borderId="0" xfId="0" applyFont="1" applyFill="1" applyAlignment="1">
      <alignment horizontal="left" vertical="center"/>
    </xf>
    <xf numFmtId="179" fontId="5" fillId="29" borderId="0" xfId="63" applyFont="1" applyFill="1" applyBorder="1" applyAlignment="1">
      <alignment horizontal="left" vertical="center"/>
    </xf>
    <xf numFmtId="179" fontId="5" fillId="29" borderId="0" xfId="63" applyFont="1" applyFill="1" applyBorder="1" applyAlignment="1">
      <alignment horizontal="center" vertical="center"/>
    </xf>
    <xf numFmtId="179" fontId="8" fillId="29" borderId="0" xfId="63" applyFont="1" applyFill="1" applyBorder="1" applyAlignment="1">
      <alignment horizontal="left" vertical="center"/>
    </xf>
    <xf numFmtId="179" fontId="8" fillId="29" borderId="0" xfId="63" applyFont="1" applyFill="1" applyBorder="1" applyAlignment="1">
      <alignment horizontal="center" vertical="center"/>
    </xf>
    <xf numFmtId="0" fontId="8" fillId="29" borderId="0" xfId="0" applyFont="1" applyFill="1" applyAlignment="1">
      <alignment horizontal="left" vertical="center"/>
    </xf>
    <xf numFmtId="179" fontId="70" fillId="29" borderId="13" xfId="63" applyFont="1" applyFill="1" applyBorder="1" applyAlignment="1">
      <alignment horizontal="left" vertical="center"/>
    </xf>
    <xf numFmtId="179" fontId="70" fillId="29" borderId="13" xfId="63" applyFont="1" applyFill="1" applyBorder="1" applyAlignment="1">
      <alignment horizontal="center" vertical="center"/>
    </xf>
    <xf numFmtId="179" fontId="8" fillId="29" borderId="13" xfId="63" applyFont="1" applyFill="1" applyBorder="1" applyAlignment="1">
      <alignment horizontal="center" vertical="center"/>
    </xf>
    <xf numFmtId="179" fontId="8" fillId="29" borderId="25" xfId="63" applyFont="1" applyFill="1" applyBorder="1" applyAlignment="1">
      <alignment horizontal="center" vertical="center"/>
    </xf>
    <xf numFmtId="0" fontId="8" fillId="29" borderId="0" xfId="0" applyFont="1" applyFill="1" applyAlignment="1">
      <alignment horizontal="center" vertical="center"/>
    </xf>
    <xf numFmtId="179" fontId="8" fillId="29" borderId="13" xfId="63" applyFont="1" applyFill="1" applyBorder="1" applyAlignment="1">
      <alignment horizontal="left" vertical="center"/>
    </xf>
    <xf numFmtId="4" fontId="8" fillId="29" borderId="13" xfId="0" applyNumberFormat="1" applyFont="1" applyFill="1" applyBorder="1" applyAlignment="1">
      <alignment horizontal="center" vertical="center"/>
    </xf>
    <xf numFmtId="179" fontId="3" fillId="29" borderId="0" xfId="63" applyFont="1" applyFill="1" applyBorder="1" applyAlignment="1">
      <alignment horizontal="left" vertical="center"/>
    </xf>
    <xf numFmtId="179" fontId="3" fillId="29" borderId="0" xfId="63" applyFont="1" applyFill="1" applyBorder="1" applyAlignment="1">
      <alignment horizontal="center" vertical="center"/>
    </xf>
    <xf numFmtId="179" fontId="5" fillId="29" borderId="0" xfId="63" applyFont="1" applyFill="1" applyBorder="1" applyAlignment="1">
      <alignment horizontal="center" vertical="center" wrapText="1"/>
    </xf>
    <xf numFmtId="179" fontId="3" fillId="29" borderId="0" xfId="63" applyFont="1" applyFill="1" applyAlignment="1">
      <alignment horizontal="left" vertical="center"/>
    </xf>
    <xf numFmtId="179" fontId="3" fillId="29" borderId="0" xfId="63" applyFont="1" applyFill="1" applyAlignment="1">
      <alignment horizontal="center" vertical="center"/>
    </xf>
    <xf numFmtId="179" fontId="8" fillId="29" borderId="0" xfId="63" applyFont="1" applyFill="1" applyAlignment="1">
      <alignment horizontal="left" vertical="center"/>
    </xf>
    <xf numFmtId="179" fontId="8" fillId="29" borderId="0" xfId="63" applyFont="1" applyFill="1" applyAlignment="1">
      <alignment horizontal="center" vertical="center"/>
    </xf>
    <xf numFmtId="4" fontId="6" fillId="29" borderId="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 horizontal="left" vertical="center"/>
    </xf>
    <xf numFmtId="4" fontId="8" fillId="29" borderId="0" xfId="0" applyNumberFormat="1" applyFont="1" applyFill="1" applyBorder="1" applyAlignment="1">
      <alignment horizontal="center" vertical="center"/>
    </xf>
    <xf numFmtId="4" fontId="3" fillId="29" borderId="0" xfId="0" applyNumberFormat="1" applyFont="1" applyFill="1" applyBorder="1" applyAlignment="1">
      <alignment horizontal="center" vertical="center"/>
    </xf>
    <xf numFmtId="0" fontId="71" fillId="29" borderId="13" xfId="0" applyFont="1" applyFill="1" applyBorder="1" applyAlignment="1">
      <alignment horizontal="center" vertical="center"/>
    </xf>
    <xf numFmtId="4" fontId="25" fillId="29" borderId="17" xfId="53" applyNumberFormat="1" applyFont="1" applyFill="1" applyBorder="1" applyAlignment="1">
      <alignment horizontal="center" vertical="top"/>
      <protection/>
    </xf>
    <xf numFmtId="4" fontId="8" fillId="29" borderId="13" xfId="61" applyNumberFormat="1" applyFont="1" applyFill="1" applyBorder="1" applyAlignment="1">
      <alignment horizontal="center" vertical="center"/>
    </xf>
    <xf numFmtId="179" fontId="8" fillId="29" borderId="0" xfId="61" applyFont="1" applyFill="1" applyBorder="1" applyAlignment="1">
      <alignment vertical="center"/>
    </xf>
    <xf numFmtId="4" fontId="8" fillId="29" borderId="17" xfId="61" applyNumberFormat="1" applyFont="1" applyFill="1" applyBorder="1" applyAlignment="1">
      <alignment horizontal="center" vertical="center"/>
    </xf>
    <xf numFmtId="4" fontId="25" fillId="29" borderId="17" xfId="53" applyNumberFormat="1" applyFont="1" applyFill="1" applyBorder="1" applyAlignment="1">
      <alignment horizontal="center" vertical="center"/>
      <protection/>
    </xf>
    <xf numFmtId="4" fontId="72" fillId="29" borderId="12" xfId="53" applyNumberFormat="1" applyFont="1" applyFill="1" applyBorder="1" applyAlignment="1">
      <alignment horizontal="right" vertical="top"/>
      <protection/>
    </xf>
    <xf numFmtId="4" fontId="71" fillId="29" borderId="13" xfId="61" applyNumberFormat="1" applyFont="1" applyFill="1" applyBorder="1" applyAlignment="1">
      <alignment horizontal="center" vertical="center"/>
    </xf>
    <xf numFmtId="0" fontId="8" fillId="29" borderId="0" xfId="0" applyFont="1" applyFill="1" applyBorder="1" applyAlignment="1">
      <alignment horizontal="left" vertical="center"/>
    </xf>
    <xf numFmtId="4" fontId="8" fillId="29" borderId="0" xfId="0" applyNumberFormat="1" applyFont="1" applyFill="1" applyAlignment="1">
      <alignment horizontal="center" vertical="center"/>
    </xf>
    <xf numFmtId="4" fontId="5" fillId="29" borderId="0" xfId="0" applyNumberFormat="1" applyFont="1" applyFill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4" fontId="7" fillId="29" borderId="0" xfId="0" applyNumberFormat="1" applyFont="1" applyFill="1" applyAlignment="1">
      <alignment horizontal="center" vertical="center"/>
    </xf>
    <xf numFmtId="0" fontId="7" fillId="29" borderId="0" xfId="0" applyFont="1" applyFill="1" applyAlignment="1">
      <alignment horizontal="center" vertical="center"/>
    </xf>
    <xf numFmtId="4" fontId="3" fillId="29" borderId="0" xfId="0" applyNumberFormat="1" applyFont="1" applyFill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179" fontId="8" fillId="29" borderId="13" xfId="61" applyFont="1" applyFill="1" applyBorder="1" applyAlignment="1">
      <alignment horizontal="center" vertical="center"/>
    </xf>
    <xf numFmtId="4" fontId="8" fillId="29" borderId="13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0" fontId="9" fillId="29" borderId="0" xfId="0" applyFont="1" applyFill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left" vertical="center"/>
    </xf>
    <xf numFmtId="49" fontId="5" fillId="29" borderId="0" xfId="0" applyNumberFormat="1" applyFont="1" applyFill="1" applyBorder="1" applyAlignment="1">
      <alignment horizontal="center" vertical="center"/>
    </xf>
    <xf numFmtId="49" fontId="5" fillId="29" borderId="0" xfId="0" applyNumberFormat="1" applyFont="1" applyFill="1" applyBorder="1" applyAlignment="1">
      <alignment vertical="center"/>
    </xf>
    <xf numFmtId="0" fontId="3" fillId="29" borderId="0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vertical="center" wrapText="1"/>
    </xf>
    <xf numFmtId="0" fontId="8" fillId="29" borderId="13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left" vertical="center"/>
    </xf>
    <xf numFmtId="0" fontId="8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left" vertical="center"/>
    </xf>
    <xf numFmtId="0" fontId="4" fillId="29" borderId="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left" vertical="center"/>
    </xf>
    <xf numFmtId="0" fontId="5" fillId="29" borderId="13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horizontal="center" vertical="center"/>
    </xf>
    <xf numFmtId="43" fontId="8" fillId="29" borderId="13" xfId="0" applyNumberFormat="1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8" fillId="29" borderId="13" xfId="0" applyFont="1" applyFill="1" applyBorder="1" applyAlignment="1">
      <alignment horizontal="left" vertical="center"/>
    </xf>
    <xf numFmtId="0" fontId="9" fillId="29" borderId="13" xfId="0" applyFont="1" applyFill="1" applyBorder="1" applyAlignment="1">
      <alignment horizontal="left" vertical="center"/>
    </xf>
    <xf numFmtId="193" fontId="8" fillId="29" borderId="13" xfId="61" applyNumberFormat="1" applyFont="1" applyFill="1" applyBorder="1" applyAlignment="1">
      <alignment horizontal="center" vertical="center"/>
    </xf>
    <xf numFmtId="179" fontId="9" fillId="29" borderId="13" xfId="61" applyFont="1" applyFill="1" applyBorder="1" applyAlignment="1">
      <alignment horizontal="left" vertical="center"/>
    </xf>
    <xf numFmtId="4" fontId="8" fillId="29" borderId="13" xfId="0" applyNumberFormat="1" applyFont="1" applyFill="1" applyBorder="1" applyAlignment="1">
      <alignment horizontal="center" vertical="center"/>
    </xf>
    <xf numFmtId="4" fontId="8" fillId="29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>
      <alignment horizontal="left"/>
    </xf>
    <xf numFmtId="179" fontId="28" fillId="0" borderId="0" xfId="6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left"/>
    </xf>
    <xf numFmtId="179" fontId="29" fillId="0" borderId="0" xfId="6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49" fontId="20" fillId="0" borderId="26" xfId="0" applyNumberFormat="1" applyFont="1" applyFill="1" applyBorder="1" applyAlignment="1">
      <alignment/>
    </xf>
    <xf numFmtId="0" fontId="22" fillId="0" borderId="31" xfId="0" applyNumberFormat="1" applyFont="1" applyFill="1" applyBorder="1" applyAlignment="1">
      <alignment horizontal="center" vertical="center" wrapText="1"/>
    </xf>
    <xf numFmtId="179" fontId="22" fillId="30" borderId="13" xfId="61" applyFont="1" applyFill="1" applyBorder="1" applyAlignment="1">
      <alignment horizontal="center" vertical="center"/>
    </xf>
    <xf numFmtId="43" fontId="19" fillId="31" borderId="0" xfId="0" applyNumberFormat="1" applyFont="1" applyFill="1" applyBorder="1" applyAlignment="1">
      <alignment horizontal="left"/>
    </xf>
    <xf numFmtId="0" fontId="8" fillId="0" borderId="13" xfId="0" applyFont="1" applyBorder="1" applyAlignment="1" applyProtection="1">
      <alignment horizontal="right"/>
      <protection/>
    </xf>
    <xf numFmtId="49" fontId="3" fillId="4" borderId="29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2" fontId="8" fillId="4" borderId="13" xfId="0" applyNumberFormat="1" applyFont="1" applyFill="1" applyBorder="1" applyAlignment="1" applyProtection="1">
      <alignment/>
      <protection locked="0"/>
    </xf>
    <xf numFmtId="2" fontId="9" fillId="7" borderId="25" xfId="0" applyNumberFormat="1" applyFont="1" applyFill="1" applyBorder="1" applyAlignment="1" applyProtection="1">
      <alignment/>
      <protection/>
    </xf>
    <xf numFmtId="2" fontId="9" fillId="7" borderId="13" xfId="0" applyNumberFormat="1" applyFont="1" applyFill="1" applyBorder="1" applyAlignment="1" applyProtection="1">
      <alignment/>
      <protection/>
    </xf>
    <xf numFmtId="43" fontId="8" fillId="0" borderId="13" xfId="0" applyNumberFormat="1" applyFont="1" applyBorder="1" applyAlignment="1" applyProtection="1">
      <alignment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9" fillId="25" borderId="25" xfId="0" applyNumberFormat="1" applyFont="1" applyFill="1" applyBorder="1" applyAlignment="1" applyProtection="1">
      <alignment/>
      <protection/>
    </xf>
    <xf numFmtId="2" fontId="9" fillId="25" borderId="16" xfId="0" applyNumberFormat="1" applyFont="1" applyFill="1" applyBorder="1" applyAlignment="1" applyProtection="1">
      <alignment/>
      <protection/>
    </xf>
    <xf numFmtId="2" fontId="9" fillId="25" borderId="34" xfId="0" applyNumberFormat="1" applyFont="1" applyFill="1" applyBorder="1" applyAlignment="1" applyProtection="1">
      <alignment/>
      <protection/>
    </xf>
    <xf numFmtId="0" fontId="9" fillId="32" borderId="18" xfId="0" applyNumberFormat="1" applyFont="1" applyFill="1" applyBorder="1" applyAlignment="1" applyProtection="1">
      <alignment wrapText="1"/>
      <protection/>
    </xf>
    <xf numFmtId="0" fontId="9" fillId="32" borderId="14" xfId="0" applyFont="1" applyFill="1" applyBorder="1" applyAlignment="1" applyProtection="1">
      <alignment horizontal="center" vertical="center" wrapText="1"/>
      <protection/>
    </xf>
    <xf numFmtId="2" fontId="9" fillId="32" borderId="14" xfId="0" applyNumberFormat="1" applyFont="1" applyFill="1" applyBorder="1" applyAlignment="1" applyProtection="1">
      <alignment/>
      <protection/>
    </xf>
    <xf numFmtId="2" fontId="9" fillId="32" borderId="22" xfId="0" applyNumberFormat="1" applyFont="1" applyFill="1" applyBorder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2" fontId="8" fillId="7" borderId="13" xfId="0" applyNumberFormat="1" applyFont="1" applyFill="1" applyBorder="1" applyAlignment="1" applyProtection="1">
      <alignment/>
      <protection locked="0"/>
    </xf>
    <xf numFmtId="0" fontId="8" fillId="9" borderId="12" xfId="0" applyNumberFormat="1" applyFont="1" applyFill="1" applyBorder="1" applyAlignment="1" applyProtection="1">
      <alignment wrapText="1"/>
      <protection/>
    </xf>
    <xf numFmtId="2" fontId="8" fillId="9" borderId="13" xfId="0" applyNumberFormat="1" applyFont="1" applyFill="1" applyBorder="1" applyAlignment="1" applyProtection="1">
      <alignment/>
      <protection locked="0"/>
    </xf>
    <xf numFmtId="2" fontId="9" fillId="9" borderId="25" xfId="0" applyNumberFormat="1" applyFont="1" applyFill="1" applyBorder="1" applyAlignment="1" applyProtection="1">
      <alignment/>
      <protection/>
    </xf>
    <xf numFmtId="0" fontId="8" fillId="9" borderId="0" xfId="0" applyFont="1" applyFill="1" applyAlignment="1" applyProtection="1">
      <alignment/>
      <protection/>
    </xf>
    <xf numFmtId="2" fontId="8" fillId="4" borderId="13" xfId="0" applyNumberFormat="1" applyFont="1" applyFill="1" applyBorder="1" applyAlignment="1" applyProtection="1">
      <alignment wrapText="1"/>
      <protection locked="0"/>
    </xf>
    <xf numFmtId="2" fontId="13" fillId="4" borderId="13" xfId="0" applyNumberFormat="1" applyFont="1" applyFill="1" applyBorder="1" applyAlignment="1" applyProtection="1">
      <alignment/>
      <protection locked="0"/>
    </xf>
    <xf numFmtId="0" fontId="8" fillId="4" borderId="13" xfId="0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/>
      <protection locked="0"/>
    </xf>
    <xf numFmtId="2" fontId="13" fillId="4" borderId="17" xfId="0" applyNumberFormat="1" applyFont="1" applyFill="1" applyBorder="1" applyAlignment="1" applyProtection="1">
      <alignment/>
      <protection locked="0"/>
    </xf>
    <xf numFmtId="2" fontId="9" fillId="7" borderId="17" xfId="0" applyNumberFormat="1" applyFont="1" applyFill="1" applyBorder="1" applyAlignment="1" applyProtection="1">
      <alignment/>
      <protection/>
    </xf>
    <xf numFmtId="2" fontId="8" fillId="4" borderId="17" xfId="0" applyNumberFormat="1" applyFont="1" applyFill="1" applyBorder="1" applyAlignment="1" applyProtection="1">
      <alignment/>
      <protection locked="0"/>
    </xf>
    <xf numFmtId="0" fontId="8" fillId="4" borderId="19" xfId="0" applyNumberFormat="1" applyFont="1" applyFill="1" applyBorder="1" applyAlignment="1" applyProtection="1">
      <alignment horizontal="left" wrapText="1"/>
      <protection locked="0"/>
    </xf>
    <xf numFmtId="2" fontId="8" fillId="4" borderId="26" xfId="0" applyNumberFormat="1" applyFont="1" applyFill="1" applyBorder="1" applyAlignment="1" applyProtection="1">
      <alignment/>
      <protection locked="0"/>
    </xf>
    <xf numFmtId="2" fontId="9" fillId="7" borderId="26" xfId="0" applyNumberFormat="1" applyFont="1" applyFill="1" applyBorder="1" applyAlignment="1" applyProtection="1">
      <alignment/>
      <protection/>
    </xf>
    <xf numFmtId="0" fontId="8" fillId="4" borderId="20" xfId="0" applyNumberFormat="1" applyFont="1" applyFill="1" applyBorder="1" applyAlignment="1" applyProtection="1">
      <alignment horizontal="left" wrapText="1"/>
      <protection locked="0"/>
    </xf>
    <xf numFmtId="0" fontId="9" fillId="7" borderId="25" xfId="0" applyFont="1" applyFill="1" applyBorder="1" applyAlignment="1" applyProtection="1">
      <alignment/>
      <protection/>
    </xf>
    <xf numFmtId="0" fontId="9" fillId="7" borderId="13" xfId="0" applyFont="1" applyFill="1" applyBorder="1" applyAlignment="1" applyProtection="1">
      <alignment/>
      <protection/>
    </xf>
    <xf numFmtId="0" fontId="9" fillId="7" borderId="22" xfId="0" applyFont="1" applyFill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/>
      <protection/>
    </xf>
    <xf numFmtId="2" fontId="9" fillId="7" borderId="35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25" xfId="0" applyFont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/>
    </xf>
    <xf numFmtId="4" fontId="8" fillId="33" borderId="23" xfId="61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4" fontId="8" fillId="33" borderId="25" xfId="0" applyNumberFormat="1" applyFont="1" applyFill="1" applyBorder="1" applyAlignment="1">
      <alignment horizontal="center" vertical="center"/>
    </xf>
    <xf numFmtId="179" fontId="8" fillId="33" borderId="13" xfId="63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4" fontId="8" fillId="33" borderId="25" xfId="61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179" fontId="9" fillId="33" borderId="13" xfId="61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179" fontId="9" fillId="7" borderId="13" xfId="63" applyFont="1" applyFill="1" applyBorder="1" applyAlignment="1" applyProtection="1">
      <alignment horizontal="right"/>
      <protection/>
    </xf>
    <xf numFmtId="43" fontId="73" fillId="0" borderId="13" xfId="0" applyNumberFormat="1" applyFont="1" applyBorder="1" applyAlignment="1" applyProtection="1">
      <alignment/>
      <protection/>
    </xf>
    <xf numFmtId="0" fontId="73" fillId="0" borderId="19" xfId="0" applyNumberFormat="1" applyFont="1" applyBorder="1" applyAlignment="1" applyProtection="1">
      <alignment wrapText="1"/>
      <protection/>
    </xf>
    <xf numFmtId="179" fontId="9" fillId="7" borderId="35" xfId="63" applyFont="1" applyFill="1" applyBorder="1" applyAlignment="1" applyProtection="1">
      <alignment horizontal="right"/>
      <protection/>
    </xf>
    <xf numFmtId="179" fontId="9" fillId="7" borderId="36" xfId="63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4" fillId="27" borderId="25" xfId="0" applyFont="1" applyFill="1" applyBorder="1" applyAlignment="1">
      <alignment vertical="center" wrapText="1"/>
    </xf>
    <xf numFmtId="0" fontId="73" fillId="0" borderId="13" xfId="0" applyFont="1" applyBorder="1" applyAlignment="1">
      <alignment horizontal="center" vertical="center"/>
    </xf>
    <xf numFmtId="4" fontId="74" fillId="27" borderId="13" xfId="0" applyNumberFormat="1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vertical="center" wrapText="1"/>
    </xf>
    <xf numFmtId="4" fontId="8" fillId="29" borderId="14" xfId="63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4" fontId="9" fillId="33" borderId="25" xfId="61" applyNumberFormat="1" applyFont="1" applyFill="1" applyBorder="1" applyAlignment="1">
      <alignment horizontal="center" vertical="center"/>
    </xf>
    <xf numFmtId="43" fontId="9" fillId="0" borderId="13" xfId="0" applyNumberFormat="1" applyFont="1" applyBorder="1" applyAlignment="1" applyProtection="1">
      <alignment/>
      <protection/>
    </xf>
    <xf numFmtId="0" fontId="9" fillId="4" borderId="12" xfId="0" applyNumberFormat="1" applyFont="1" applyFill="1" applyBorder="1" applyAlignment="1" applyProtection="1">
      <alignment horizontal="left" wrapText="1"/>
      <protection locked="0"/>
    </xf>
    <xf numFmtId="179" fontId="8" fillId="29" borderId="13" xfId="61" applyFont="1" applyFill="1" applyBorder="1" applyAlignment="1">
      <alignment vertical="center"/>
    </xf>
    <xf numFmtId="4" fontId="8" fillId="29" borderId="13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 applyProtection="1">
      <alignment wrapText="1"/>
      <protection/>
    </xf>
    <xf numFmtId="2" fontId="8" fillId="4" borderId="31" xfId="0" applyNumberFormat="1" applyFont="1" applyFill="1" applyBorder="1" applyAlignment="1" applyProtection="1">
      <alignment/>
      <protection locked="0"/>
    </xf>
    <xf numFmtId="2" fontId="9" fillId="7" borderId="23" xfId="0" applyNumberFormat="1" applyFont="1" applyFill="1" applyBorder="1" applyAlignment="1" applyProtection="1">
      <alignment/>
      <protection/>
    </xf>
    <xf numFmtId="43" fontId="8" fillId="0" borderId="27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73" fillId="0" borderId="19" xfId="0" applyFont="1" applyFill="1" applyBorder="1" applyAlignment="1" applyProtection="1">
      <alignment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73" fillId="0" borderId="19" xfId="0" applyNumberFormat="1" applyFont="1" applyFill="1" applyBorder="1" applyAlignment="1" applyProtection="1">
      <alignment wrapText="1"/>
      <protection/>
    </xf>
    <xf numFmtId="0" fontId="9" fillId="0" borderId="2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/>
    </xf>
    <xf numFmtId="193" fontId="8" fillId="0" borderId="23" xfId="63" applyNumberFormat="1" applyFont="1" applyFill="1" applyBorder="1" applyAlignment="1">
      <alignment horizontal="center" vertical="center"/>
    </xf>
    <xf numFmtId="179" fontId="8" fillId="0" borderId="13" xfId="63" applyFont="1" applyFill="1" applyBorder="1" applyAlignment="1">
      <alignment horizontal="left" vertical="center"/>
    </xf>
    <xf numFmtId="171" fontId="8" fillId="0" borderId="0" xfId="0" applyNumberFormat="1" applyFont="1" applyAlignment="1">
      <alignment horizontal="left" vertical="center"/>
    </xf>
    <xf numFmtId="4" fontId="9" fillId="34" borderId="0" xfId="0" applyNumberFormat="1" applyFont="1" applyFill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43" fontId="8" fillId="0" borderId="13" xfId="0" applyNumberFormat="1" applyFont="1" applyFill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/>
      <protection/>
    </xf>
    <xf numFmtId="0" fontId="9" fillId="0" borderId="23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4" fontId="74" fillId="0" borderId="2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179" fontId="9" fillId="0" borderId="13" xfId="61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93" fontId="9" fillId="0" borderId="25" xfId="63" applyNumberFormat="1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2" fontId="73" fillId="0" borderId="13" xfId="0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 applyProtection="1">
      <alignment/>
      <protection/>
    </xf>
    <xf numFmtId="0" fontId="9" fillId="28" borderId="13" xfId="0" applyFont="1" applyFill="1" applyBorder="1" applyAlignment="1">
      <alignment horizontal="right" vertical="center"/>
    </xf>
    <xf numFmtId="0" fontId="74" fillId="27" borderId="23" xfId="0" applyFont="1" applyFill="1" applyBorder="1" applyAlignment="1">
      <alignment vertical="center" wrapText="1"/>
    </xf>
    <xf numFmtId="4" fontId="74" fillId="0" borderId="13" xfId="0" applyNumberFormat="1" applyFont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/>
    </xf>
    <xf numFmtId="179" fontId="5" fillId="29" borderId="13" xfId="63" applyFont="1" applyFill="1" applyBorder="1" applyAlignment="1">
      <alignment horizontal="left" vertical="center"/>
    </xf>
    <xf numFmtId="179" fontId="5" fillId="29" borderId="13" xfId="63" applyFont="1" applyFill="1" applyBorder="1" applyAlignment="1">
      <alignment horizontal="center" vertical="center"/>
    </xf>
    <xf numFmtId="179" fontId="5" fillId="29" borderId="13" xfId="63" applyFont="1" applyFill="1" applyBorder="1" applyAlignment="1">
      <alignment horizontal="left" vertical="center" wrapText="1"/>
    </xf>
    <xf numFmtId="179" fontId="5" fillId="29" borderId="13" xfId="63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179" fontId="9" fillId="29" borderId="13" xfId="63" applyFont="1" applyFill="1" applyBorder="1" applyAlignment="1">
      <alignment horizontal="left" vertical="center"/>
    </xf>
    <xf numFmtId="179" fontId="9" fillId="29" borderId="13" xfId="63" applyFont="1" applyFill="1" applyBorder="1" applyAlignment="1">
      <alignment horizontal="center" vertical="center"/>
    </xf>
    <xf numFmtId="179" fontId="75" fillId="29" borderId="13" xfId="63" applyFont="1" applyFill="1" applyBorder="1" applyAlignment="1">
      <alignment horizontal="left" vertical="center"/>
    </xf>
    <xf numFmtId="4" fontId="75" fillId="29" borderId="0" xfId="0" applyNumberFormat="1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79" fontId="8" fillId="0" borderId="13" xfId="61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0" fontId="9" fillId="28" borderId="25" xfId="0" applyFont="1" applyFill="1" applyBorder="1" applyAlignment="1">
      <alignment horizontal="right" vertical="center"/>
    </xf>
    <xf numFmtId="193" fontId="8" fillId="0" borderId="25" xfId="63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4" fontId="8" fillId="35" borderId="13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27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4" fontId="8" fillId="0" borderId="23" xfId="61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5" xfId="61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" fontId="8" fillId="0" borderId="13" xfId="61" applyNumberFormat="1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left" vertical="center" wrapText="1"/>
    </xf>
    <xf numFmtId="4" fontId="73" fillId="0" borderId="13" xfId="61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179" fontId="19" fillId="0" borderId="13" xfId="61" applyFont="1" applyFill="1" applyBorder="1" applyAlignment="1">
      <alignment horizontal="center" vertical="center"/>
    </xf>
    <xf numFmtId="179" fontId="23" fillId="31" borderId="13" xfId="61" applyFont="1" applyFill="1" applyBorder="1" applyAlignment="1">
      <alignment horizontal="center" vertical="center"/>
    </xf>
    <xf numFmtId="179" fontId="22" fillId="0" borderId="13" xfId="6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right" vertical="center"/>
    </xf>
    <xf numFmtId="49" fontId="19" fillId="0" borderId="28" xfId="0" applyNumberFormat="1" applyFont="1" applyFill="1" applyBorder="1" applyAlignment="1">
      <alignment horizontal="right" vertical="center"/>
    </xf>
    <xf numFmtId="49" fontId="19" fillId="0" borderId="17" xfId="0" applyNumberFormat="1" applyFont="1" applyFill="1" applyBorder="1" applyAlignment="1">
      <alignment horizontal="right" vertical="center"/>
    </xf>
    <xf numFmtId="186" fontId="19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179" fontId="19" fillId="0" borderId="25" xfId="61" applyFont="1" applyFill="1" applyBorder="1" applyAlignment="1">
      <alignment horizontal="center" vertical="center"/>
    </xf>
    <xf numFmtId="179" fontId="19" fillId="0" borderId="28" xfId="61" applyFont="1" applyFill="1" applyBorder="1" applyAlignment="1">
      <alignment horizontal="center" vertical="center"/>
    </xf>
    <xf numFmtId="179" fontId="19" fillId="0" borderId="17" xfId="6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vertical="center" wrapText="1"/>
    </xf>
    <xf numFmtId="0" fontId="19" fillId="0" borderId="28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 applyAlignment="1">
      <alignment vertical="center" wrapText="1"/>
    </xf>
    <xf numFmtId="0" fontId="19" fillId="0" borderId="13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center"/>
    </xf>
    <xf numFmtId="49" fontId="20" fillId="36" borderId="2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26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2" fontId="19" fillId="0" borderId="25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28" borderId="13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70" fillId="0" borderId="26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9" fontId="70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28" borderId="25" xfId="0" applyFont="1" applyFill="1" applyBorder="1" applyAlignment="1">
      <alignment horizontal="right" vertical="center"/>
    </xf>
    <xf numFmtId="0" fontId="9" fillId="28" borderId="17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7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32" borderId="39" xfId="0" applyFont="1" applyFill="1" applyBorder="1" applyAlignment="1" applyProtection="1">
      <alignment horizontal="center" wrapText="1"/>
      <protection/>
    </xf>
    <xf numFmtId="0" fontId="9" fillId="32" borderId="40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9" fillId="32" borderId="39" xfId="0" applyFont="1" applyFill="1" applyBorder="1" applyAlignment="1" applyProtection="1">
      <alignment horizontal="center" vertical="center" wrapText="1"/>
      <protection/>
    </xf>
    <xf numFmtId="0" fontId="9" fillId="32" borderId="26" xfId="0" applyFont="1" applyFill="1" applyBorder="1" applyAlignment="1" applyProtection="1">
      <alignment horizontal="center" vertical="center" wrapText="1"/>
      <protection/>
    </xf>
    <xf numFmtId="0" fontId="9" fillId="32" borderId="4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7" borderId="30" xfId="0" applyFont="1" applyFill="1" applyBorder="1" applyAlignment="1" applyProtection="1">
      <alignment horizontal="center"/>
      <protection/>
    </xf>
    <xf numFmtId="0" fontId="9" fillId="7" borderId="4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4" borderId="26" xfId="0" applyFont="1" applyFill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vertical="top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C51"/>
  <sheetViews>
    <sheetView zoomScalePageLayoutView="0" workbookViewId="0" topLeftCell="A18">
      <selection activeCell="EO43" sqref="EO43"/>
    </sheetView>
  </sheetViews>
  <sheetFormatPr defaultColWidth="0.875" defaultRowHeight="12.75"/>
  <cols>
    <col min="1" max="23" width="0.875" style="61" customWidth="1"/>
    <col min="24" max="24" width="10.875" style="61" customWidth="1"/>
    <col min="25" max="40" width="0.6171875" style="61" customWidth="1"/>
    <col min="41" max="41" width="0.875" style="61" hidden="1" customWidth="1"/>
    <col min="42" max="160" width="0.875" style="61" customWidth="1"/>
    <col min="161" max="161" width="23.75390625" style="61" bestFit="1" customWidth="1"/>
    <col min="162" max="162" width="17.00390625" style="61" customWidth="1"/>
    <col min="163" max="164" width="17.125" style="62" customWidth="1"/>
    <col min="165" max="165" width="14.75390625" style="62" customWidth="1"/>
    <col min="166" max="166" width="18.375" style="62" customWidth="1"/>
    <col min="167" max="167" width="15.875" style="62" customWidth="1"/>
    <col min="168" max="168" width="14.125" style="62" customWidth="1"/>
    <col min="169" max="169" width="0.875" style="62" hidden="1" customWidth="1"/>
    <col min="170" max="170" width="16.00390625" style="62" customWidth="1"/>
    <col min="171" max="171" width="6.00390625" style="62" bestFit="1" customWidth="1"/>
    <col min="172" max="211" width="0.875" style="62" customWidth="1"/>
    <col min="212" max="16384" width="0.875" style="61" customWidth="1"/>
  </cols>
  <sheetData>
    <row r="1" spans="105:211" s="278" customFormat="1" ht="12">
      <c r="DA1" s="278" t="s">
        <v>257</v>
      </c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</row>
    <row r="2" spans="105:211" s="278" customFormat="1" ht="47.25" customHeight="1">
      <c r="DA2" s="482" t="s">
        <v>258</v>
      </c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280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</row>
    <row r="3" ht="3" customHeight="1"/>
    <row r="4" spans="105:211" s="281" customFormat="1" ht="11.25">
      <c r="DA4" s="281" t="s">
        <v>259</v>
      </c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</row>
    <row r="6" spans="161:211" s="65" customFormat="1" ht="15">
      <c r="FE6" s="283" t="s">
        <v>260</v>
      </c>
      <c r="FF6" s="283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</row>
    <row r="8" spans="1:211" s="60" customFormat="1" ht="15.75">
      <c r="A8" s="483" t="s">
        <v>158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E8" s="483"/>
      <c r="DF8" s="483"/>
      <c r="DG8" s="483"/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  <c r="EE8" s="483"/>
      <c r="EF8" s="483"/>
      <c r="EG8" s="483"/>
      <c r="EH8" s="483"/>
      <c r="EI8" s="483"/>
      <c r="EJ8" s="483"/>
      <c r="EK8" s="483"/>
      <c r="EL8" s="483"/>
      <c r="EM8" s="483"/>
      <c r="EN8" s="483"/>
      <c r="EO8" s="483"/>
      <c r="EP8" s="483"/>
      <c r="EQ8" s="483"/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58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</row>
    <row r="10" spans="1:211" s="65" customFormat="1" ht="15">
      <c r="A10" s="460" t="s">
        <v>261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0"/>
      <c r="CY10" s="460"/>
      <c r="CZ10" s="460"/>
      <c r="DA10" s="460"/>
      <c r="DB10" s="460"/>
      <c r="DC10" s="460"/>
      <c r="DD10" s="460"/>
      <c r="DE10" s="460"/>
      <c r="DF10" s="460"/>
      <c r="DG10" s="460"/>
      <c r="DH10" s="460"/>
      <c r="DI10" s="460"/>
      <c r="DJ10" s="460"/>
      <c r="DK10" s="460"/>
      <c r="DL10" s="460"/>
      <c r="DM10" s="460"/>
      <c r="DN10" s="460"/>
      <c r="DO10" s="460"/>
      <c r="DP10" s="460"/>
      <c r="DQ10" s="460"/>
      <c r="DR10" s="460"/>
      <c r="DS10" s="460"/>
      <c r="DT10" s="460"/>
      <c r="DU10" s="460"/>
      <c r="DV10" s="460"/>
      <c r="DW10" s="460"/>
      <c r="DX10" s="460"/>
      <c r="DY10" s="460"/>
      <c r="DZ10" s="460"/>
      <c r="EA10" s="460"/>
      <c r="EB10" s="460"/>
      <c r="EC10" s="460"/>
      <c r="ED10" s="460"/>
      <c r="EE10" s="460"/>
      <c r="EF10" s="460"/>
      <c r="EG10" s="460"/>
      <c r="EH10" s="460"/>
      <c r="EI10" s="460"/>
      <c r="EJ10" s="460"/>
      <c r="EK10" s="460"/>
      <c r="EL10" s="460"/>
      <c r="EM10" s="460"/>
      <c r="EN10" s="460"/>
      <c r="EO10" s="460"/>
      <c r="EP10" s="460"/>
      <c r="EQ10" s="460"/>
      <c r="ER10" s="460"/>
      <c r="ES10" s="460"/>
      <c r="ET10" s="460"/>
      <c r="EU10" s="460"/>
      <c r="EV10" s="460"/>
      <c r="EW10" s="460"/>
      <c r="EX10" s="460"/>
      <c r="EY10" s="460"/>
      <c r="EZ10" s="460"/>
      <c r="FA10" s="460"/>
      <c r="FB10" s="460"/>
      <c r="FC10" s="460"/>
      <c r="FD10" s="460"/>
      <c r="FE10" s="460"/>
      <c r="FF10" s="63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</row>
    <row r="11" ht="6" customHeight="1"/>
    <row r="12" spans="1:211" s="66" customFormat="1" ht="14.25">
      <c r="A12" s="66" t="s">
        <v>0</v>
      </c>
      <c r="X12" s="284"/>
      <c r="Y12" s="484" t="s">
        <v>262</v>
      </c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4"/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484"/>
      <c r="EJ12" s="484"/>
      <c r="EK12" s="484"/>
      <c r="EL12" s="484"/>
      <c r="EM12" s="484"/>
      <c r="EN12" s="484"/>
      <c r="EO12" s="484"/>
      <c r="EP12" s="484"/>
      <c r="EQ12" s="484"/>
      <c r="ER12" s="484"/>
      <c r="ES12" s="484"/>
      <c r="ET12" s="484"/>
      <c r="EU12" s="484"/>
      <c r="EV12" s="484"/>
      <c r="EW12" s="484"/>
      <c r="EX12" s="484"/>
      <c r="EY12" s="484"/>
      <c r="EZ12" s="484"/>
      <c r="FA12" s="484"/>
      <c r="FB12" s="484"/>
      <c r="FC12" s="484"/>
      <c r="FD12" s="484"/>
      <c r="FE12" s="484"/>
      <c r="FF12" s="67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</row>
    <row r="13" spans="24:211" s="66" customFormat="1" ht="6" customHeight="1"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69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</row>
    <row r="14" spans="1:211" s="66" customFormat="1" ht="14.25">
      <c r="A14" s="485" t="s">
        <v>159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6" t="s">
        <v>39</v>
      </c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86"/>
      <c r="ED14" s="486"/>
      <c r="EE14" s="486"/>
      <c r="EF14" s="486"/>
      <c r="EG14" s="486"/>
      <c r="EH14" s="486"/>
      <c r="EI14" s="486"/>
      <c r="EJ14" s="486"/>
      <c r="EK14" s="486"/>
      <c r="EL14" s="486"/>
      <c r="EM14" s="486"/>
      <c r="EN14" s="486"/>
      <c r="EO14" s="486"/>
      <c r="EP14" s="486"/>
      <c r="EQ14" s="486"/>
      <c r="ER14" s="486"/>
      <c r="ES14" s="486"/>
      <c r="ET14" s="486"/>
      <c r="EU14" s="486"/>
      <c r="EV14" s="486"/>
      <c r="EW14" s="486"/>
      <c r="EX14" s="486"/>
      <c r="EY14" s="486"/>
      <c r="EZ14" s="486"/>
      <c r="FA14" s="486"/>
      <c r="FB14" s="486"/>
      <c r="FC14" s="486"/>
      <c r="FD14" s="486"/>
      <c r="FE14" s="486"/>
      <c r="FF14" s="63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</row>
    <row r="15" ht="9.75" customHeight="1"/>
    <row r="16" spans="1:211" s="65" customFormat="1" ht="15">
      <c r="A16" s="460" t="s">
        <v>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63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</row>
    <row r="17" ht="10.5" customHeight="1"/>
    <row r="18" spans="1:211" s="73" customFormat="1" ht="13.5" customHeight="1">
      <c r="A18" s="461" t="s">
        <v>160</v>
      </c>
      <c r="B18" s="462"/>
      <c r="C18" s="462"/>
      <c r="D18" s="462"/>
      <c r="E18" s="462"/>
      <c r="F18" s="463"/>
      <c r="G18" s="461" t="s">
        <v>263</v>
      </c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3"/>
      <c r="Y18" s="461" t="s">
        <v>161</v>
      </c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3"/>
      <c r="AO18" s="470" t="s">
        <v>5</v>
      </c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2"/>
      <c r="DI18" s="461" t="s">
        <v>162</v>
      </c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3"/>
      <c r="DY18" s="461" t="s">
        <v>264</v>
      </c>
      <c r="DZ18" s="462"/>
      <c r="EA18" s="462"/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3"/>
      <c r="EO18" s="473" t="s">
        <v>163</v>
      </c>
      <c r="EP18" s="474"/>
      <c r="EQ18" s="474"/>
      <c r="ER18" s="474"/>
      <c r="ES18" s="474"/>
      <c r="ET18" s="474"/>
      <c r="EU18" s="474"/>
      <c r="EV18" s="474"/>
      <c r="EW18" s="474"/>
      <c r="EX18" s="474"/>
      <c r="EY18" s="474"/>
      <c r="EZ18" s="474"/>
      <c r="FA18" s="474"/>
      <c r="FB18" s="474"/>
      <c r="FC18" s="474"/>
      <c r="FD18" s="474"/>
      <c r="FE18" s="475"/>
      <c r="FF18" s="71"/>
      <c r="FG18" s="72"/>
      <c r="FH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</row>
    <row r="19" spans="1:211" s="73" customFormat="1" ht="13.5" customHeight="1">
      <c r="A19" s="464"/>
      <c r="B19" s="465"/>
      <c r="C19" s="465"/>
      <c r="D19" s="465"/>
      <c r="E19" s="465"/>
      <c r="F19" s="466"/>
      <c r="G19" s="464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6"/>
      <c r="Y19" s="464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6"/>
      <c r="AO19" s="461" t="s">
        <v>6</v>
      </c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3"/>
      <c r="BF19" s="470" t="s">
        <v>7</v>
      </c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2"/>
      <c r="DI19" s="464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6"/>
      <c r="DY19" s="464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6"/>
      <c r="EO19" s="476"/>
      <c r="EP19" s="477"/>
      <c r="EQ19" s="477"/>
      <c r="ER19" s="477"/>
      <c r="ES19" s="477"/>
      <c r="ET19" s="477"/>
      <c r="EU19" s="477"/>
      <c r="EV19" s="477"/>
      <c r="EW19" s="477"/>
      <c r="EX19" s="477"/>
      <c r="EY19" s="477"/>
      <c r="EZ19" s="477"/>
      <c r="FA19" s="477"/>
      <c r="FB19" s="477"/>
      <c r="FC19" s="477"/>
      <c r="FD19" s="477"/>
      <c r="FE19" s="478"/>
      <c r="FF19" s="71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</row>
    <row r="20" spans="1:211" s="73" customFormat="1" ht="39.75" customHeight="1">
      <c r="A20" s="467"/>
      <c r="B20" s="468"/>
      <c r="C20" s="468"/>
      <c r="D20" s="468"/>
      <c r="E20" s="468"/>
      <c r="F20" s="469"/>
      <c r="G20" s="467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9"/>
      <c r="Y20" s="467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9"/>
      <c r="AO20" s="467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9"/>
      <c r="BF20" s="455" t="s">
        <v>164</v>
      </c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6" t="s">
        <v>165</v>
      </c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457"/>
      <c r="CO20" s="457"/>
      <c r="CP20" s="458"/>
      <c r="CQ20" s="455" t="s">
        <v>166</v>
      </c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67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9"/>
      <c r="DY20" s="467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8"/>
      <c r="EN20" s="469"/>
      <c r="EO20" s="479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1"/>
      <c r="FF20" s="285"/>
      <c r="FG20" s="74" t="s">
        <v>167</v>
      </c>
      <c r="FH20" s="74" t="s">
        <v>168</v>
      </c>
      <c r="FI20" s="74" t="s">
        <v>169</v>
      </c>
      <c r="FJ20" s="74" t="s">
        <v>31</v>
      </c>
      <c r="FK20" s="74" t="s">
        <v>170</v>
      </c>
      <c r="FL20" s="74" t="s">
        <v>171</v>
      </c>
      <c r="FM20" s="72"/>
      <c r="FN20" s="74" t="s">
        <v>172</v>
      </c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</row>
    <row r="21" spans="1:211" s="78" customFormat="1" ht="12.75">
      <c r="A21" s="459">
        <v>1</v>
      </c>
      <c r="B21" s="459"/>
      <c r="C21" s="459"/>
      <c r="D21" s="459"/>
      <c r="E21" s="459"/>
      <c r="F21" s="459"/>
      <c r="G21" s="459">
        <v>2</v>
      </c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3">
        <v>3</v>
      </c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>
        <v>4</v>
      </c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>
        <v>5</v>
      </c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>
        <v>6</v>
      </c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>
        <v>7</v>
      </c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3"/>
      <c r="DE21" s="453"/>
      <c r="DF21" s="453"/>
      <c r="DG21" s="453"/>
      <c r="DH21" s="453"/>
      <c r="DI21" s="453">
        <v>8</v>
      </c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3"/>
      <c r="DV21" s="453"/>
      <c r="DW21" s="453"/>
      <c r="DX21" s="453"/>
      <c r="DY21" s="453">
        <v>9</v>
      </c>
      <c r="DZ21" s="453"/>
      <c r="EA21" s="453"/>
      <c r="EB21" s="453"/>
      <c r="EC21" s="453"/>
      <c r="ED21" s="453"/>
      <c r="EE21" s="453"/>
      <c r="EF21" s="453"/>
      <c r="EG21" s="453"/>
      <c r="EH21" s="453"/>
      <c r="EI21" s="453"/>
      <c r="EJ21" s="453"/>
      <c r="EK21" s="453"/>
      <c r="EL21" s="453"/>
      <c r="EM21" s="453"/>
      <c r="EN21" s="453"/>
      <c r="EO21" s="454">
        <v>10</v>
      </c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75"/>
      <c r="FG21" s="76"/>
      <c r="FH21" s="76"/>
      <c r="FI21" s="76"/>
      <c r="FJ21" s="76"/>
      <c r="FK21" s="76"/>
      <c r="FL21" s="76"/>
      <c r="FM21" s="77"/>
      <c r="FN21" s="76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</row>
    <row r="22" spans="1:211" s="82" customFormat="1" ht="12.75">
      <c r="A22" s="447" t="s">
        <v>173</v>
      </c>
      <c r="B22" s="447"/>
      <c r="C22" s="447"/>
      <c r="D22" s="447"/>
      <c r="E22" s="447"/>
      <c r="F22" s="447"/>
      <c r="G22" s="448" t="s">
        <v>174</v>
      </c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9">
        <v>1</v>
      </c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2"/>
      <c r="EZ22" s="442"/>
      <c r="FA22" s="442"/>
      <c r="FB22" s="442"/>
      <c r="FC22" s="442"/>
      <c r="FD22" s="442"/>
      <c r="FE22" s="442"/>
      <c r="FF22" s="79"/>
      <c r="FG22" s="80"/>
      <c r="FH22" s="80"/>
      <c r="FI22" s="80"/>
      <c r="FJ22" s="80"/>
      <c r="FK22" s="80"/>
      <c r="FL22" s="80"/>
      <c r="FM22" s="81"/>
      <c r="FN22" s="80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</row>
    <row r="23" spans="1:211" s="82" customFormat="1" ht="12.75">
      <c r="A23" s="447" t="s">
        <v>175</v>
      </c>
      <c r="B23" s="447"/>
      <c r="C23" s="447"/>
      <c r="D23" s="447"/>
      <c r="E23" s="447"/>
      <c r="F23" s="447"/>
      <c r="G23" s="448" t="s">
        <v>176</v>
      </c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9">
        <v>3</v>
      </c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50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2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2"/>
      <c r="EP23" s="442"/>
      <c r="EQ23" s="442"/>
      <c r="ER23" s="442"/>
      <c r="ES23" s="442"/>
      <c r="ET23" s="442"/>
      <c r="EU23" s="442"/>
      <c r="EV23" s="442"/>
      <c r="EW23" s="442"/>
      <c r="EX23" s="442"/>
      <c r="EY23" s="442"/>
      <c r="EZ23" s="442"/>
      <c r="FA23" s="442"/>
      <c r="FB23" s="442"/>
      <c r="FC23" s="442"/>
      <c r="FD23" s="442"/>
      <c r="FE23" s="442"/>
      <c r="FF23" s="79"/>
      <c r="FG23" s="80"/>
      <c r="FH23" s="80"/>
      <c r="FI23" s="80"/>
      <c r="FJ23" s="80"/>
      <c r="FK23" s="80"/>
      <c r="FL23" s="80"/>
      <c r="FM23" s="81"/>
      <c r="FN23" s="80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</row>
    <row r="24" spans="1:211" s="82" customFormat="1" ht="25.5" customHeight="1">
      <c r="A24" s="447" t="s">
        <v>177</v>
      </c>
      <c r="B24" s="447"/>
      <c r="C24" s="447"/>
      <c r="D24" s="447"/>
      <c r="E24" s="447"/>
      <c r="F24" s="447"/>
      <c r="G24" s="448" t="s">
        <v>182</v>
      </c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9">
        <v>2.5</v>
      </c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50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2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2"/>
      <c r="EP24" s="442"/>
      <c r="EQ24" s="442"/>
      <c r="ER24" s="442"/>
      <c r="ES24" s="442"/>
      <c r="ET24" s="442"/>
      <c r="EU24" s="442"/>
      <c r="EV24" s="442"/>
      <c r="EW24" s="442"/>
      <c r="EX24" s="442"/>
      <c r="EY24" s="442"/>
      <c r="EZ24" s="442"/>
      <c r="FA24" s="442"/>
      <c r="FB24" s="442"/>
      <c r="FC24" s="442"/>
      <c r="FD24" s="442"/>
      <c r="FE24" s="442"/>
      <c r="FF24" s="79"/>
      <c r="FG24" s="80"/>
      <c r="FH24" s="80"/>
      <c r="FI24" s="80"/>
      <c r="FJ24" s="80"/>
      <c r="FK24" s="80"/>
      <c r="FL24" s="80"/>
      <c r="FM24" s="81"/>
      <c r="FN24" s="80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</row>
    <row r="25" spans="1:211" s="82" customFormat="1" ht="12.75">
      <c r="A25" s="447" t="s">
        <v>179</v>
      </c>
      <c r="B25" s="447"/>
      <c r="C25" s="447"/>
      <c r="D25" s="447"/>
      <c r="E25" s="447"/>
      <c r="F25" s="447"/>
      <c r="G25" s="448" t="s">
        <v>178</v>
      </c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9">
        <v>1</v>
      </c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2"/>
      <c r="EP25" s="442"/>
      <c r="EQ25" s="442"/>
      <c r="ER25" s="442"/>
      <c r="ES25" s="442"/>
      <c r="ET25" s="442"/>
      <c r="EU25" s="442"/>
      <c r="EV25" s="442"/>
      <c r="EW25" s="442"/>
      <c r="EX25" s="442"/>
      <c r="EY25" s="442"/>
      <c r="EZ25" s="442"/>
      <c r="FA25" s="442"/>
      <c r="FB25" s="442"/>
      <c r="FC25" s="442"/>
      <c r="FD25" s="442"/>
      <c r="FE25" s="442"/>
      <c r="FF25" s="79"/>
      <c r="FG25" s="80"/>
      <c r="FH25" s="80"/>
      <c r="FI25" s="80"/>
      <c r="FJ25" s="80"/>
      <c r="FK25" s="80"/>
      <c r="FL25" s="80"/>
      <c r="FM25" s="81"/>
      <c r="FN25" s="80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</row>
    <row r="26" spans="1:211" s="82" customFormat="1" ht="12.75">
      <c r="A26" s="447" t="s">
        <v>181</v>
      </c>
      <c r="B26" s="447"/>
      <c r="C26" s="447"/>
      <c r="D26" s="447"/>
      <c r="E26" s="447"/>
      <c r="F26" s="447"/>
      <c r="G26" s="448" t="s">
        <v>322</v>
      </c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9">
        <v>1</v>
      </c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2"/>
      <c r="EP26" s="442"/>
      <c r="EQ26" s="442"/>
      <c r="ER26" s="442"/>
      <c r="ES26" s="442"/>
      <c r="ET26" s="442"/>
      <c r="EU26" s="442"/>
      <c r="EV26" s="442"/>
      <c r="EW26" s="442"/>
      <c r="EX26" s="442"/>
      <c r="EY26" s="442"/>
      <c r="EZ26" s="442"/>
      <c r="FA26" s="442"/>
      <c r="FB26" s="442"/>
      <c r="FC26" s="442"/>
      <c r="FD26" s="442"/>
      <c r="FE26" s="442"/>
      <c r="FF26" s="79"/>
      <c r="FG26" s="80"/>
      <c r="FH26" s="80"/>
      <c r="FI26" s="80"/>
      <c r="FJ26" s="80"/>
      <c r="FK26" s="80"/>
      <c r="FL26" s="80"/>
      <c r="FM26" s="81"/>
      <c r="FN26" s="80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</row>
    <row r="27" spans="1:211" s="82" customFormat="1" ht="12.75">
      <c r="A27" s="447" t="s">
        <v>183</v>
      </c>
      <c r="B27" s="447"/>
      <c r="C27" s="447"/>
      <c r="D27" s="447"/>
      <c r="E27" s="447"/>
      <c r="F27" s="447"/>
      <c r="G27" s="448" t="s">
        <v>189</v>
      </c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9">
        <v>0.67</v>
      </c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2"/>
      <c r="FE27" s="442"/>
      <c r="FF27" s="79"/>
      <c r="FG27" s="80"/>
      <c r="FH27" s="80"/>
      <c r="FI27" s="80"/>
      <c r="FJ27" s="80"/>
      <c r="FK27" s="80"/>
      <c r="FL27" s="80"/>
      <c r="FM27" s="81"/>
      <c r="FN27" s="80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</row>
    <row r="28" spans="1:211" s="82" customFormat="1" ht="12.75">
      <c r="A28" s="447" t="s">
        <v>185</v>
      </c>
      <c r="B28" s="447"/>
      <c r="C28" s="447"/>
      <c r="D28" s="447"/>
      <c r="E28" s="447"/>
      <c r="F28" s="447"/>
      <c r="G28" s="448" t="s">
        <v>180</v>
      </c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9">
        <v>1</v>
      </c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440"/>
      <c r="EO28" s="442"/>
      <c r="EP28" s="442"/>
      <c r="EQ28" s="442"/>
      <c r="ER28" s="442"/>
      <c r="ES28" s="442"/>
      <c r="ET28" s="442"/>
      <c r="EU28" s="442"/>
      <c r="EV28" s="442"/>
      <c r="EW28" s="442"/>
      <c r="EX28" s="442"/>
      <c r="EY28" s="442"/>
      <c r="EZ28" s="442"/>
      <c r="FA28" s="442"/>
      <c r="FB28" s="442"/>
      <c r="FC28" s="442"/>
      <c r="FD28" s="442"/>
      <c r="FE28" s="442"/>
      <c r="FF28" s="79"/>
      <c r="FG28" s="80"/>
      <c r="FH28" s="80"/>
      <c r="FI28" s="80"/>
      <c r="FJ28" s="80"/>
      <c r="FK28" s="80"/>
      <c r="FL28" s="80"/>
      <c r="FM28" s="81"/>
      <c r="FN28" s="80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</row>
    <row r="29" spans="1:211" s="82" customFormat="1" ht="12.75">
      <c r="A29" s="447" t="s">
        <v>187</v>
      </c>
      <c r="B29" s="447"/>
      <c r="C29" s="447"/>
      <c r="D29" s="447"/>
      <c r="E29" s="447"/>
      <c r="F29" s="447"/>
      <c r="G29" s="448" t="s">
        <v>184</v>
      </c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9">
        <v>1.5</v>
      </c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  <c r="EC29" s="440"/>
      <c r="ED29" s="440"/>
      <c r="EE29" s="440"/>
      <c r="EF29" s="440"/>
      <c r="EG29" s="440"/>
      <c r="EH29" s="440"/>
      <c r="EI29" s="440"/>
      <c r="EJ29" s="440"/>
      <c r="EK29" s="440"/>
      <c r="EL29" s="440"/>
      <c r="EM29" s="440"/>
      <c r="EN29" s="440"/>
      <c r="EO29" s="442"/>
      <c r="EP29" s="442"/>
      <c r="EQ29" s="442"/>
      <c r="ER29" s="442"/>
      <c r="ES29" s="442"/>
      <c r="ET29" s="442"/>
      <c r="EU29" s="442"/>
      <c r="EV29" s="442"/>
      <c r="EW29" s="442"/>
      <c r="EX29" s="442"/>
      <c r="EY29" s="442"/>
      <c r="EZ29" s="442"/>
      <c r="FA29" s="442"/>
      <c r="FB29" s="442"/>
      <c r="FC29" s="442"/>
      <c r="FD29" s="442"/>
      <c r="FE29" s="442"/>
      <c r="FF29" s="79"/>
      <c r="FG29" s="80"/>
      <c r="FH29" s="80"/>
      <c r="FI29" s="80"/>
      <c r="FJ29" s="80"/>
      <c r="FK29" s="80"/>
      <c r="FL29" s="80"/>
      <c r="FM29" s="81"/>
      <c r="FN29" s="80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</row>
    <row r="30" spans="1:211" s="82" customFormat="1" ht="12.75">
      <c r="A30" s="447" t="s">
        <v>188</v>
      </c>
      <c r="B30" s="447"/>
      <c r="C30" s="447"/>
      <c r="D30" s="447"/>
      <c r="E30" s="447"/>
      <c r="F30" s="447"/>
      <c r="G30" s="448" t="s">
        <v>186</v>
      </c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9">
        <v>82.44</v>
      </c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42"/>
      <c r="EZ30" s="442"/>
      <c r="FA30" s="442"/>
      <c r="FB30" s="442"/>
      <c r="FC30" s="442"/>
      <c r="FD30" s="442"/>
      <c r="FE30" s="442"/>
      <c r="FF30" s="79"/>
      <c r="FG30" s="80"/>
      <c r="FH30" s="80"/>
      <c r="FI30" s="80"/>
      <c r="FJ30" s="80"/>
      <c r="FK30" s="80"/>
      <c r="FL30" s="80"/>
      <c r="FM30" s="81"/>
      <c r="FN30" s="80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</row>
    <row r="31" spans="1:211" s="82" customFormat="1" ht="36" customHeight="1">
      <c r="A31" s="447" t="s">
        <v>190</v>
      </c>
      <c r="B31" s="447"/>
      <c r="C31" s="447"/>
      <c r="D31" s="447"/>
      <c r="E31" s="447"/>
      <c r="F31" s="447"/>
      <c r="G31" s="448" t="s">
        <v>324</v>
      </c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9">
        <v>1</v>
      </c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440"/>
      <c r="EO31" s="442"/>
      <c r="EP31" s="442"/>
      <c r="EQ31" s="442"/>
      <c r="ER31" s="442"/>
      <c r="ES31" s="442"/>
      <c r="ET31" s="442"/>
      <c r="EU31" s="442"/>
      <c r="EV31" s="442"/>
      <c r="EW31" s="442"/>
      <c r="EX31" s="442"/>
      <c r="EY31" s="442"/>
      <c r="EZ31" s="442"/>
      <c r="FA31" s="442"/>
      <c r="FB31" s="442"/>
      <c r="FC31" s="442"/>
      <c r="FD31" s="442"/>
      <c r="FE31" s="442"/>
      <c r="FF31" s="79"/>
      <c r="FG31" s="80"/>
      <c r="FH31" s="80"/>
      <c r="FI31" s="80"/>
      <c r="FJ31" s="80"/>
      <c r="FK31" s="80"/>
      <c r="FL31" s="80"/>
      <c r="FM31" s="81"/>
      <c r="FN31" s="80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</row>
    <row r="32" spans="1:211" s="82" customFormat="1" ht="12.75">
      <c r="A32" s="447" t="s">
        <v>191</v>
      </c>
      <c r="B32" s="447"/>
      <c r="C32" s="447"/>
      <c r="D32" s="447"/>
      <c r="E32" s="447"/>
      <c r="F32" s="447"/>
      <c r="G32" s="448" t="s">
        <v>197</v>
      </c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9">
        <v>1</v>
      </c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0"/>
      <c r="EF32" s="440"/>
      <c r="EG32" s="440"/>
      <c r="EH32" s="440"/>
      <c r="EI32" s="440"/>
      <c r="EJ32" s="440"/>
      <c r="EK32" s="440"/>
      <c r="EL32" s="440"/>
      <c r="EM32" s="440"/>
      <c r="EN32" s="440"/>
      <c r="EO32" s="442"/>
      <c r="EP32" s="442"/>
      <c r="EQ32" s="442"/>
      <c r="ER32" s="442"/>
      <c r="ES32" s="442"/>
      <c r="ET32" s="442"/>
      <c r="EU32" s="442"/>
      <c r="EV32" s="442"/>
      <c r="EW32" s="442"/>
      <c r="EX32" s="442"/>
      <c r="EY32" s="442"/>
      <c r="EZ32" s="442"/>
      <c r="FA32" s="442"/>
      <c r="FB32" s="442"/>
      <c r="FC32" s="442"/>
      <c r="FD32" s="442"/>
      <c r="FE32" s="442"/>
      <c r="FF32" s="79"/>
      <c r="FG32" s="80"/>
      <c r="FH32" s="80"/>
      <c r="FI32" s="80"/>
      <c r="FJ32" s="80"/>
      <c r="FK32" s="80"/>
      <c r="FL32" s="80"/>
      <c r="FM32" s="81"/>
      <c r="FN32" s="80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</row>
    <row r="33" spans="1:211" s="82" customFormat="1" ht="12.75">
      <c r="A33" s="447" t="s">
        <v>192</v>
      </c>
      <c r="B33" s="447"/>
      <c r="C33" s="447"/>
      <c r="D33" s="447"/>
      <c r="E33" s="447"/>
      <c r="F33" s="447"/>
      <c r="G33" s="448" t="s">
        <v>195</v>
      </c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9">
        <v>1.5</v>
      </c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2"/>
      <c r="EP33" s="442"/>
      <c r="EQ33" s="442"/>
      <c r="ER33" s="442"/>
      <c r="ES33" s="442"/>
      <c r="ET33" s="442"/>
      <c r="EU33" s="442"/>
      <c r="EV33" s="442"/>
      <c r="EW33" s="442"/>
      <c r="EX33" s="442"/>
      <c r="EY33" s="442"/>
      <c r="EZ33" s="442"/>
      <c r="FA33" s="442"/>
      <c r="FB33" s="442"/>
      <c r="FC33" s="442"/>
      <c r="FD33" s="442"/>
      <c r="FE33" s="442"/>
      <c r="FF33" s="79"/>
      <c r="FG33" s="80"/>
      <c r="FH33" s="80"/>
      <c r="FI33" s="80"/>
      <c r="FJ33" s="80"/>
      <c r="FK33" s="80"/>
      <c r="FL33" s="80"/>
      <c r="FM33" s="81"/>
      <c r="FN33" s="80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</row>
    <row r="34" spans="1:211" s="82" customFormat="1" ht="12.75">
      <c r="A34" s="447" t="s">
        <v>194</v>
      </c>
      <c r="B34" s="447"/>
      <c r="C34" s="447"/>
      <c r="D34" s="447"/>
      <c r="E34" s="447"/>
      <c r="F34" s="447"/>
      <c r="G34" s="448" t="s">
        <v>193</v>
      </c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9">
        <v>0.5</v>
      </c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  <c r="EC34" s="440"/>
      <c r="ED34" s="440"/>
      <c r="EE34" s="440"/>
      <c r="EF34" s="440"/>
      <c r="EG34" s="440"/>
      <c r="EH34" s="440"/>
      <c r="EI34" s="440"/>
      <c r="EJ34" s="440"/>
      <c r="EK34" s="440"/>
      <c r="EL34" s="440"/>
      <c r="EM34" s="440"/>
      <c r="EN34" s="440"/>
      <c r="EO34" s="442"/>
      <c r="EP34" s="442"/>
      <c r="EQ34" s="442"/>
      <c r="ER34" s="442"/>
      <c r="ES34" s="442"/>
      <c r="ET34" s="442"/>
      <c r="EU34" s="442"/>
      <c r="EV34" s="442"/>
      <c r="EW34" s="442"/>
      <c r="EX34" s="442"/>
      <c r="EY34" s="442"/>
      <c r="EZ34" s="442"/>
      <c r="FA34" s="442"/>
      <c r="FB34" s="442"/>
      <c r="FC34" s="442"/>
      <c r="FD34" s="442"/>
      <c r="FE34" s="442"/>
      <c r="FF34" s="79"/>
      <c r="FG34" s="80"/>
      <c r="FH34" s="80"/>
      <c r="FI34" s="80"/>
      <c r="FJ34" s="80"/>
      <c r="FK34" s="80"/>
      <c r="FL34" s="80"/>
      <c r="FM34" s="81"/>
      <c r="FN34" s="80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</row>
    <row r="35" spans="1:211" s="82" customFormat="1" ht="12.75">
      <c r="A35" s="447" t="s">
        <v>196</v>
      </c>
      <c r="B35" s="447"/>
      <c r="C35" s="447"/>
      <c r="D35" s="447"/>
      <c r="E35" s="447"/>
      <c r="F35" s="447"/>
      <c r="G35" s="448" t="s">
        <v>199</v>
      </c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9">
        <v>1.5</v>
      </c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  <c r="EC35" s="440"/>
      <c r="ED35" s="440"/>
      <c r="EE35" s="440"/>
      <c r="EF35" s="440"/>
      <c r="EG35" s="440"/>
      <c r="EH35" s="440"/>
      <c r="EI35" s="440"/>
      <c r="EJ35" s="440"/>
      <c r="EK35" s="440"/>
      <c r="EL35" s="440"/>
      <c r="EM35" s="440"/>
      <c r="EN35" s="440"/>
      <c r="EO35" s="442"/>
      <c r="EP35" s="442"/>
      <c r="EQ35" s="442"/>
      <c r="ER35" s="442"/>
      <c r="ES35" s="442"/>
      <c r="ET35" s="442"/>
      <c r="EU35" s="442"/>
      <c r="EV35" s="442"/>
      <c r="EW35" s="442"/>
      <c r="EX35" s="442"/>
      <c r="EY35" s="442"/>
      <c r="EZ35" s="442"/>
      <c r="FA35" s="442"/>
      <c r="FB35" s="442"/>
      <c r="FC35" s="442"/>
      <c r="FD35" s="442"/>
      <c r="FE35" s="442"/>
      <c r="FF35" s="79"/>
      <c r="FG35" s="80"/>
      <c r="FH35" s="80"/>
      <c r="FI35" s="80"/>
      <c r="FJ35" s="80"/>
      <c r="FK35" s="80"/>
      <c r="FL35" s="80"/>
      <c r="FM35" s="81"/>
      <c r="FN35" s="80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</row>
    <row r="36" spans="1:211" s="82" customFormat="1" ht="12.75">
      <c r="A36" s="447" t="s">
        <v>196</v>
      </c>
      <c r="B36" s="447"/>
      <c r="C36" s="447"/>
      <c r="D36" s="447"/>
      <c r="E36" s="447"/>
      <c r="F36" s="447"/>
      <c r="G36" s="448" t="s">
        <v>374</v>
      </c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9">
        <v>0.5</v>
      </c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0"/>
      <c r="EF36" s="440"/>
      <c r="EG36" s="440"/>
      <c r="EH36" s="440"/>
      <c r="EI36" s="440"/>
      <c r="EJ36" s="440"/>
      <c r="EK36" s="440"/>
      <c r="EL36" s="440"/>
      <c r="EM36" s="440"/>
      <c r="EN36" s="440"/>
      <c r="EO36" s="442"/>
      <c r="EP36" s="442"/>
      <c r="EQ36" s="442"/>
      <c r="ER36" s="442"/>
      <c r="ES36" s="442"/>
      <c r="ET36" s="442"/>
      <c r="EU36" s="442"/>
      <c r="EV36" s="442"/>
      <c r="EW36" s="442"/>
      <c r="EX36" s="442"/>
      <c r="EY36" s="442"/>
      <c r="EZ36" s="442"/>
      <c r="FA36" s="442"/>
      <c r="FB36" s="442"/>
      <c r="FC36" s="442"/>
      <c r="FD36" s="442"/>
      <c r="FE36" s="442"/>
      <c r="FF36" s="79"/>
      <c r="FG36" s="80"/>
      <c r="FH36" s="80"/>
      <c r="FI36" s="80"/>
      <c r="FJ36" s="80"/>
      <c r="FK36" s="80"/>
      <c r="FL36" s="80"/>
      <c r="FM36" s="81"/>
      <c r="FN36" s="80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</row>
    <row r="37" spans="1:211" s="82" customFormat="1" ht="12.75" customHeight="1">
      <c r="A37" s="447" t="s">
        <v>202</v>
      </c>
      <c r="B37" s="447"/>
      <c r="C37" s="447"/>
      <c r="D37" s="447"/>
      <c r="E37" s="447"/>
      <c r="F37" s="447"/>
      <c r="G37" s="487" t="s">
        <v>205</v>
      </c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9"/>
      <c r="Y37" s="490">
        <v>1</v>
      </c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2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50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2"/>
      <c r="BX37" s="450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2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50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2"/>
      <c r="DY37" s="450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2"/>
      <c r="EO37" s="442"/>
      <c r="EP37" s="442"/>
      <c r="EQ37" s="442"/>
      <c r="ER37" s="442"/>
      <c r="ES37" s="442"/>
      <c r="ET37" s="442"/>
      <c r="EU37" s="442"/>
      <c r="EV37" s="442"/>
      <c r="EW37" s="442"/>
      <c r="EX37" s="442"/>
      <c r="EY37" s="442"/>
      <c r="EZ37" s="442"/>
      <c r="FA37" s="442"/>
      <c r="FB37" s="442"/>
      <c r="FC37" s="442"/>
      <c r="FD37" s="442"/>
      <c r="FE37" s="442"/>
      <c r="FF37" s="286"/>
      <c r="FG37" s="80"/>
      <c r="FH37" s="83"/>
      <c r="FI37" s="80"/>
      <c r="FJ37" s="80"/>
      <c r="FK37" s="80"/>
      <c r="FL37" s="80"/>
      <c r="FM37" s="81"/>
      <c r="FN37" s="80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</row>
    <row r="38" spans="1:211" s="82" customFormat="1" ht="34.5" customHeight="1">
      <c r="A38" s="447" t="s">
        <v>200</v>
      </c>
      <c r="B38" s="447"/>
      <c r="C38" s="447"/>
      <c r="D38" s="447"/>
      <c r="E38" s="447"/>
      <c r="F38" s="447"/>
      <c r="G38" s="448" t="s">
        <v>203</v>
      </c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9">
        <v>1.5</v>
      </c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  <c r="DE38" s="440"/>
      <c r="DF38" s="440"/>
      <c r="DG38" s="440"/>
      <c r="DH38" s="440"/>
      <c r="DI38" s="440"/>
      <c r="DJ38" s="440"/>
      <c r="DK38" s="440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2"/>
      <c r="EP38" s="442"/>
      <c r="EQ38" s="442"/>
      <c r="ER38" s="442"/>
      <c r="ES38" s="442"/>
      <c r="ET38" s="442"/>
      <c r="EU38" s="442"/>
      <c r="EV38" s="442"/>
      <c r="EW38" s="442"/>
      <c r="EX38" s="442"/>
      <c r="EY38" s="442"/>
      <c r="EZ38" s="442"/>
      <c r="FA38" s="442"/>
      <c r="FB38" s="442"/>
      <c r="FC38" s="442"/>
      <c r="FD38" s="442"/>
      <c r="FE38" s="442"/>
      <c r="FF38" s="286"/>
      <c r="FG38" s="80"/>
      <c r="FH38" s="80"/>
      <c r="FI38" s="80"/>
      <c r="FJ38" s="80"/>
      <c r="FK38" s="80"/>
      <c r="FL38" s="80"/>
      <c r="FM38" s="81"/>
      <c r="FN38" s="80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</row>
    <row r="39" spans="1:211" s="82" customFormat="1" ht="24.75" customHeight="1">
      <c r="A39" s="447" t="s">
        <v>198</v>
      </c>
      <c r="B39" s="447"/>
      <c r="C39" s="447"/>
      <c r="D39" s="447"/>
      <c r="E39" s="447"/>
      <c r="F39" s="447"/>
      <c r="G39" s="448" t="s">
        <v>201</v>
      </c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9">
        <v>9.4</v>
      </c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0"/>
      <c r="DK39" s="440"/>
      <c r="DL39" s="440"/>
      <c r="DM39" s="440"/>
      <c r="DN39" s="440"/>
      <c r="DO39" s="440"/>
      <c r="DP39" s="440"/>
      <c r="DQ39" s="440"/>
      <c r="DR39" s="440"/>
      <c r="DS39" s="440"/>
      <c r="DT39" s="440"/>
      <c r="DU39" s="440"/>
      <c r="DV39" s="440"/>
      <c r="DW39" s="440"/>
      <c r="DX39" s="440"/>
      <c r="DY39" s="440"/>
      <c r="DZ39" s="440"/>
      <c r="EA39" s="440"/>
      <c r="EB39" s="440"/>
      <c r="EC39" s="440"/>
      <c r="ED39" s="440"/>
      <c r="EE39" s="440"/>
      <c r="EF39" s="440"/>
      <c r="EG39" s="440"/>
      <c r="EH39" s="440"/>
      <c r="EI39" s="440"/>
      <c r="EJ39" s="440"/>
      <c r="EK39" s="440"/>
      <c r="EL39" s="440"/>
      <c r="EM39" s="440"/>
      <c r="EN39" s="440"/>
      <c r="EO39" s="442"/>
      <c r="EP39" s="442"/>
      <c r="EQ39" s="442"/>
      <c r="ER39" s="442"/>
      <c r="ES39" s="442"/>
      <c r="ET39" s="442"/>
      <c r="EU39" s="442"/>
      <c r="EV39" s="442"/>
      <c r="EW39" s="442"/>
      <c r="EX39" s="442"/>
      <c r="EY39" s="442"/>
      <c r="EZ39" s="442"/>
      <c r="FA39" s="442"/>
      <c r="FB39" s="442"/>
      <c r="FC39" s="442"/>
      <c r="FD39" s="442"/>
      <c r="FE39" s="442"/>
      <c r="FF39" s="286"/>
      <c r="FG39" s="80"/>
      <c r="FH39" s="80"/>
      <c r="FI39" s="80"/>
      <c r="FJ39" s="80"/>
      <c r="FK39" s="80"/>
      <c r="FL39" s="80"/>
      <c r="FM39" s="81"/>
      <c r="FN39" s="80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</row>
    <row r="40" spans="1:211" s="82" customFormat="1" ht="12.75">
      <c r="A40" s="447" t="s">
        <v>204</v>
      </c>
      <c r="B40" s="447"/>
      <c r="C40" s="447"/>
      <c r="D40" s="447"/>
      <c r="E40" s="447"/>
      <c r="F40" s="447"/>
      <c r="G40" s="448" t="s">
        <v>207</v>
      </c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9">
        <v>2</v>
      </c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0"/>
      <c r="CX40" s="440"/>
      <c r="CY40" s="440"/>
      <c r="CZ40" s="440"/>
      <c r="DA40" s="440"/>
      <c r="DB40" s="440"/>
      <c r="DC40" s="440"/>
      <c r="DD40" s="440"/>
      <c r="DE40" s="440"/>
      <c r="DF40" s="440"/>
      <c r="DG40" s="440"/>
      <c r="DH40" s="440"/>
      <c r="DI40" s="440"/>
      <c r="DJ40" s="440"/>
      <c r="DK40" s="440"/>
      <c r="DL40" s="440"/>
      <c r="DM40" s="440"/>
      <c r="DN40" s="440"/>
      <c r="DO40" s="440"/>
      <c r="DP40" s="440"/>
      <c r="DQ40" s="440"/>
      <c r="DR40" s="440"/>
      <c r="DS40" s="440"/>
      <c r="DT40" s="440"/>
      <c r="DU40" s="440"/>
      <c r="DV40" s="440"/>
      <c r="DW40" s="440"/>
      <c r="DX40" s="440"/>
      <c r="DY40" s="440"/>
      <c r="DZ40" s="440"/>
      <c r="EA40" s="440"/>
      <c r="EB40" s="440"/>
      <c r="EC40" s="440"/>
      <c r="ED40" s="440"/>
      <c r="EE40" s="440"/>
      <c r="EF40" s="440"/>
      <c r="EG40" s="440"/>
      <c r="EH40" s="440"/>
      <c r="EI40" s="440"/>
      <c r="EJ40" s="440"/>
      <c r="EK40" s="440"/>
      <c r="EL40" s="440"/>
      <c r="EM40" s="440"/>
      <c r="EN40" s="440"/>
      <c r="EO40" s="442"/>
      <c r="EP40" s="442"/>
      <c r="EQ40" s="442"/>
      <c r="ER40" s="442"/>
      <c r="ES40" s="442"/>
      <c r="ET40" s="442"/>
      <c r="EU40" s="442"/>
      <c r="EV40" s="442"/>
      <c r="EW40" s="442"/>
      <c r="EX40" s="442"/>
      <c r="EY40" s="442"/>
      <c r="EZ40" s="442"/>
      <c r="FA40" s="442"/>
      <c r="FB40" s="442"/>
      <c r="FC40" s="442"/>
      <c r="FD40" s="442"/>
      <c r="FE40" s="442"/>
      <c r="FF40" s="286"/>
      <c r="FG40" s="80"/>
      <c r="FH40" s="80"/>
      <c r="FI40" s="80"/>
      <c r="FJ40" s="80"/>
      <c r="FK40" s="80"/>
      <c r="FL40" s="80"/>
      <c r="FM40" s="81"/>
      <c r="FN40" s="80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</row>
    <row r="41" spans="1:211" s="82" customFormat="1" ht="12.75">
      <c r="A41" s="447" t="s">
        <v>323</v>
      </c>
      <c r="B41" s="447"/>
      <c r="C41" s="447"/>
      <c r="D41" s="447"/>
      <c r="E41" s="447"/>
      <c r="F41" s="447"/>
      <c r="G41" s="448" t="s">
        <v>206</v>
      </c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9">
        <v>3</v>
      </c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40"/>
      <c r="DK41" s="440"/>
      <c r="DL41" s="440"/>
      <c r="DM41" s="440"/>
      <c r="DN41" s="440"/>
      <c r="DO41" s="440"/>
      <c r="DP41" s="440"/>
      <c r="DQ41" s="440"/>
      <c r="DR41" s="440"/>
      <c r="DS41" s="440"/>
      <c r="DT41" s="440"/>
      <c r="DU41" s="440"/>
      <c r="DV41" s="440"/>
      <c r="DW41" s="440"/>
      <c r="DX41" s="440"/>
      <c r="DY41" s="440"/>
      <c r="DZ41" s="440"/>
      <c r="EA41" s="440"/>
      <c r="EB41" s="440"/>
      <c r="EC41" s="440"/>
      <c r="ED41" s="440"/>
      <c r="EE41" s="440"/>
      <c r="EF41" s="440"/>
      <c r="EG41" s="440"/>
      <c r="EH41" s="440"/>
      <c r="EI41" s="440"/>
      <c r="EJ41" s="440"/>
      <c r="EK41" s="440"/>
      <c r="EL41" s="440"/>
      <c r="EM41" s="440"/>
      <c r="EN41" s="440"/>
      <c r="EO41" s="442"/>
      <c r="EP41" s="442"/>
      <c r="EQ41" s="442"/>
      <c r="ER41" s="442"/>
      <c r="ES41" s="442"/>
      <c r="ET41" s="442"/>
      <c r="EU41" s="442"/>
      <c r="EV41" s="442"/>
      <c r="EW41" s="442"/>
      <c r="EX41" s="442"/>
      <c r="EY41" s="442"/>
      <c r="EZ41" s="442"/>
      <c r="FA41" s="442"/>
      <c r="FB41" s="442"/>
      <c r="FC41" s="442"/>
      <c r="FD41" s="442"/>
      <c r="FE41" s="442"/>
      <c r="FF41" s="286"/>
      <c r="FG41" s="80"/>
      <c r="FH41" s="80"/>
      <c r="FI41" s="80"/>
      <c r="FJ41" s="80"/>
      <c r="FK41" s="80"/>
      <c r="FL41" s="80"/>
      <c r="FM41" s="81"/>
      <c r="FN41" s="80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</row>
    <row r="42" spans="1:211" s="82" customFormat="1" ht="15" customHeight="1">
      <c r="A42" s="443" t="s">
        <v>208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5"/>
      <c r="Y42" s="446">
        <f>SUM(Y22:AN41)</f>
        <v>117.01</v>
      </c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0">
        <f>SUM(AO22:BE41)</f>
        <v>0</v>
      </c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>
        <f>SUM(BF22:BW41)</f>
        <v>0</v>
      </c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>
        <f>SUM(BX22:CP41)</f>
        <v>0</v>
      </c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>
        <f>SUM(CQ22:DH41)</f>
        <v>0</v>
      </c>
      <c r="CR42" s="440"/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>
        <f>SUM(DI22:DX41)</f>
        <v>0</v>
      </c>
      <c r="DJ42" s="440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>
        <f>SUM(DY22:EN41)</f>
        <v>0</v>
      </c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1">
        <f>27761472.1+1355829.5</f>
        <v>29117301.6</v>
      </c>
      <c r="EP42" s="441"/>
      <c r="EQ42" s="441"/>
      <c r="ER42" s="441"/>
      <c r="ES42" s="441"/>
      <c r="ET42" s="441"/>
      <c r="EU42" s="441"/>
      <c r="EV42" s="441"/>
      <c r="EW42" s="441"/>
      <c r="EX42" s="441"/>
      <c r="EY42" s="441"/>
      <c r="EZ42" s="441"/>
      <c r="FA42" s="441"/>
      <c r="FB42" s="441"/>
      <c r="FC42" s="441"/>
      <c r="FD42" s="441"/>
      <c r="FE42" s="441"/>
      <c r="FF42" s="79"/>
      <c r="FG42" s="84"/>
      <c r="FH42" s="84"/>
      <c r="FI42" s="84">
        <f aca="true" t="shared" si="0" ref="FI42:FN42">SUM(FI22:FI41)</f>
        <v>0</v>
      </c>
      <c r="FJ42" s="84">
        <f t="shared" si="0"/>
        <v>0</v>
      </c>
      <c r="FK42" s="84">
        <f t="shared" si="0"/>
        <v>0</v>
      </c>
      <c r="FL42" s="84">
        <f t="shared" si="0"/>
        <v>0</v>
      </c>
      <c r="FM42" s="84">
        <f t="shared" si="0"/>
        <v>0</v>
      </c>
      <c r="FN42" s="84">
        <f t="shared" si="0"/>
        <v>0</v>
      </c>
      <c r="FO42" s="85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</row>
    <row r="43" ht="12.75">
      <c r="FF43" s="86">
        <f>EO42</f>
        <v>29117301.6</v>
      </c>
    </row>
    <row r="44" spans="162:165" ht="12.75">
      <c r="FF44" s="86"/>
      <c r="FI44" s="87"/>
    </row>
    <row r="45" ht="12.75">
      <c r="FF45" s="287"/>
    </row>
    <row r="46" ht="12.75">
      <c r="FF46" s="86"/>
    </row>
    <row r="47" ht="12.75">
      <c r="FI47" s="88"/>
    </row>
    <row r="51" ht="12.75">
      <c r="FF51" s="86"/>
    </row>
  </sheetData>
  <sheetProtection/>
  <mergeCells count="238">
    <mergeCell ref="CQ36:DH36"/>
    <mergeCell ref="DI36:DX36"/>
    <mergeCell ref="DY36:EN36"/>
    <mergeCell ref="EO36:FE36"/>
    <mergeCell ref="EO35:FE35"/>
    <mergeCell ref="A36:F36"/>
    <mergeCell ref="G36:X36"/>
    <mergeCell ref="Y36:AN36"/>
    <mergeCell ref="AO36:BE36"/>
    <mergeCell ref="BF36:BW36"/>
    <mergeCell ref="BX36:CP36"/>
    <mergeCell ref="CQ37:DH37"/>
    <mergeCell ref="DI37:DX37"/>
    <mergeCell ref="DY37:EN37"/>
    <mergeCell ref="EO37:FE37"/>
    <mergeCell ref="CQ26:DH26"/>
    <mergeCell ref="DI26:DX26"/>
    <mergeCell ref="DY26:EN26"/>
    <mergeCell ref="EO26:FE26"/>
    <mergeCell ref="DI27:DX27"/>
    <mergeCell ref="DY27:EN27"/>
    <mergeCell ref="A37:F37"/>
    <mergeCell ref="G37:X37"/>
    <mergeCell ref="Y37:AN37"/>
    <mergeCell ref="AO37:BE37"/>
    <mergeCell ref="BF37:BW37"/>
    <mergeCell ref="BX37:CP37"/>
    <mergeCell ref="A32:F32"/>
    <mergeCell ref="G32:X32"/>
    <mergeCell ref="Y32:AN32"/>
    <mergeCell ref="A26:F26"/>
    <mergeCell ref="G26:X26"/>
    <mergeCell ref="Y26:AN26"/>
    <mergeCell ref="AO26:BE26"/>
    <mergeCell ref="BF26:BW26"/>
    <mergeCell ref="BX26:CP26"/>
    <mergeCell ref="DA2:FE2"/>
    <mergeCell ref="A8:FE8"/>
    <mergeCell ref="A10:FE10"/>
    <mergeCell ref="Y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7:F27"/>
    <mergeCell ref="G27:X27"/>
    <mergeCell ref="Y27:AN27"/>
    <mergeCell ref="AO27:BE27"/>
    <mergeCell ref="BF27:BW27"/>
    <mergeCell ref="BX27:CP27"/>
    <mergeCell ref="CQ27:DH27"/>
    <mergeCell ref="EO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AO32:BE32"/>
    <mergeCell ref="BF32:BW32"/>
    <mergeCell ref="BX32:CP32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9:F39"/>
    <mergeCell ref="G39:X39"/>
    <mergeCell ref="Y39:AN39"/>
    <mergeCell ref="AO39:BE39"/>
    <mergeCell ref="BF39:BW39"/>
    <mergeCell ref="BX39:CP39"/>
    <mergeCell ref="A38:F38"/>
    <mergeCell ref="G38:X38"/>
    <mergeCell ref="Y38:AN38"/>
    <mergeCell ref="AO38:BE38"/>
    <mergeCell ref="BF38:BW38"/>
    <mergeCell ref="BX38:CP38"/>
    <mergeCell ref="CQ40:DH40"/>
    <mergeCell ref="DI38:DX38"/>
    <mergeCell ref="DY38:EN38"/>
    <mergeCell ref="EO38:FE38"/>
    <mergeCell ref="DI39:DX39"/>
    <mergeCell ref="DY39:EN39"/>
    <mergeCell ref="EO39:FE39"/>
    <mergeCell ref="CQ38:DH38"/>
    <mergeCell ref="CQ39:DH39"/>
    <mergeCell ref="G40:X40"/>
    <mergeCell ref="Y40:AN40"/>
    <mergeCell ref="AO40:BE40"/>
    <mergeCell ref="BF40:BW40"/>
    <mergeCell ref="BX41:CP41"/>
    <mergeCell ref="BX40:CP40"/>
    <mergeCell ref="AO41:BE41"/>
    <mergeCell ref="BF41:BW41"/>
    <mergeCell ref="CQ41:DH41"/>
    <mergeCell ref="DI40:DX40"/>
    <mergeCell ref="DY40:EN40"/>
    <mergeCell ref="EO40:FE40"/>
    <mergeCell ref="A40:F40"/>
    <mergeCell ref="CQ42:DH42"/>
    <mergeCell ref="DI42:DX42"/>
    <mergeCell ref="A41:F41"/>
    <mergeCell ref="G41:X41"/>
    <mergeCell ref="Y41:AN41"/>
    <mergeCell ref="DY42:EN42"/>
    <mergeCell ref="EO42:FE42"/>
    <mergeCell ref="DI41:DX41"/>
    <mergeCell ref="DY41:EN41"/>
    <mergeCell ref="EO41:FE41"/>
    <mergeCell ref="A42:X42"/>
    <mergeCell ref="Y42:AN42"/>
    <mergeCell ref="AO42:BE42"/>
    <mergeCell ref="BF42:BW42"/>
    <mergeCell ref="BX42:CP42"/>
  </mergeCells>
  <printOptions/>
  <pageMargins left="0.984251968503937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Z35"/>
  <sheetViews>
    <sheetView view="pageBreakPreview" zoomScale="115" zoomScaleSheetLayoutView="115" zoomScalePageLayoutView="0" workbookViewId="0" topLeftCell="A13">
      <selection activeCell="F21" sqref="F21"/>
    </sheetView>
  </sheetViews>
  <sheetFormatPr defaultColWidth="1.12109375" defaultRowHeight="12.75"/>
  <cols>
    <col min="1" max="1" width="4.875" style="54" customWidth="1"/>
    <col min="2" max="2" width="20.625" style="49" customWidth="1"/>
    <col min="3" max="3" width="16.00390625" style="49" customWidth="1"/>
    <col min="4" max="4" width="21.375" style="49" customWidth="1"/>
    <col min="5" max="5" width="10.25390625" style="49" customWidth="1"/>
    <col min="6" max="6" width="23.75390625" style="49" customWidth="1"/>
    <col min="7" max="7" width="9.00390625" style="259" customWidth="1"/>
    <col min="8" max="8" width="12.25390625" style="259" customWidth="1"/>
    <col min="9" max="9" width="12.875" style="259" customWidth="1"/>
    <col min="10" max="11" width="10.875" style="238" customWidth="1"/>
    <col min="12" max="13" width="1.12109375" style="238" customWidth="1"/>
    <col min="14" max="19" width="1.12109375" style="105" customWidth="1"/>
    <col min="20" max="16384" width="1.12109375" style="49" customWidth="1"/>
  </cols>
  <sheetData>
    <row r="1" spans="1:19" s="47" customFormat="1" ht="15.75">
      <c r="A1" s="504" t="s">
        <v>10</v>
      </c>
      <c r="B1" s="504"/>
      <c r="C1" s="504"/>
      <c r="D1" s="504"/>
      <c r="E1" s="504"/>
      <c r="F1" s="504"/>
      <c r="G1" s="250"/>
      <c r="H1" s="250"/>
      <c r="I1" s="250"/>
      <c r="J1" s="251"/>
      <c r="K1" s="251"/>
      <c r="L1" s="251"/>
      <c r="M1" s="251"/>
      <c r="N1" s="95"/>
      <c r="O1" s="95"/>
      <c r="P1" s="95"/>
      <c r="Q1" s="95"/>
      <c r="R1" s="95"/>
      <c r="S1" s="95"/>
    </row>
    <row r="2" spans="1:26" s="50" customFormat="1" ht="15.75">
      <c r="A2" s="504" t="s">
        <v>209</v>
      </c>
      <c r="B2" s="504"/>
      <c r="C2" s="504"/>
      <c r="D2" s="513" t="s">
        <v>297</v>
      </c>
      <c r="E2" s="513"/>
      <c r="F2" s="513"/>
      <c r="G2" s="252"/>
      <c r="H2" s="252"/>
      <c r="I2" s="252"/>
      <c r="J2" s="253"/>
      <c r="K2" s="253"/>
      <c r="L2" s="253"/>
      <c r="M2" s="253"/>
      <c r="N2" s="96"/>
      <c r="O2" s="96"/>
      <c r="P2" s="96"/>
      <c r="Q2" s="96"/>
      <c r="R2" s="96"/>
      <c r="S2" s="97"/>
      <c r="Z2" s="98"/>
    </row>
    <row r="3" spans="1:26" s="50" customFormat="1" ht="27" customHeight="1">
      <c r="A3" s="510" t="s">
        <v>1</v>
      </c>
      <c r="B3" s="510"/>
      <c r="C3" s="510"/>
      <c r="D3" s="505" t="s">
        <v>39</v>
      </c>
      <c r="E3" s="505"/>
      <c r="F3" s="505"/>
      <c r="G3" s="254"/>
      <c r="H3" s="254"/>
      <c r="I3" s="254"/>
      <c r="J3" s="255"/>
      <c r="K3" s="255"/>
      <c r="L3" s="255"/>
      <c r="M3" s="255"/>
      <c r="N3" s="100"/>
      <c r="O3" s="100"/>
      <c r="P3" s="100"/>
      <c r="Q3" s="100"/>
      <c r="R3" s="100"/>
      <c r="S3" s="101"/>
      <c r="Z3" s="98"/>
    </row>
    <row r="4" spans="1:26" s="50" customFormat="1" ht="15.75" customHeight="1">
      <c r="A4" s="102"/>
      <c r="B4" s="102"/>
      <c r="C4" s="102"/>
      <c r="D4" s="99"/>
      <c r="E4" s="99"/>
      <c r="F4" s="99"/>
      <c r="G4" s="213" t="s">
        <v>48</v>
      </c>
      <c r="H4" s="213" t="s">
        <v>49</v>
      </c>
      <c r="I4" s="213" t="s">
        <v>210</v>
      </c>
      <c r="J4" s="255"/>
      <c r="K4" s="255"/>
      <c r="L4" s="255"/>
      <c r="M4" s="255"/>
      <c r="N4" s="100"/>
      <c r="O4" s="100"/>
      <c r="P4" s="100"/>
      <c r="Q4" s="100"/>
      <c r="R4" s="100"/>
      <c r="S4" s="101"/>
      <c r="Z4" s="98"/>
    </row>
    <row r="5" spans="1:9" ht="36" customHeight="1">
      <c r="A5" s="103" t="s">
        <v>211</v>
      </c>
      <c r="B5" s="44" t="s">
        <v>11</v>
      </c>
      <c r="C5" s="103" t="s">
        <v>212</v>
      </c>
      <c r="D5" s="104" t="s">
        <v>213</v>
      </c>
      <c r="E5" s="103" t="s">
        <v>214</v>
      </c>
      <c r="F5" s="44" t="s">
        <v>215</v>
      </c>
      <c r="G5" s="256"/>
      <c r="H5" s="256"/>
      <c r="I5" s="256"/>
    </row>
    <row r="6" spans="1:9" ht="12.75">
      <c r="A6" s="90">
        <v>1</v>
      </c>
      <c r="B6" s="90">
        <v>2</v>
      </c>
      <c r="C6" s="90">
        <v>3</v>
      </c>
      <c r="D6" s="106">
        <v>4</v>
      </c>
      <c r="E6" s="44">
        <v>5</v>
      </c>
      <c r="F6" s="44">
        <v>6</v>
      </c>
      <c r="G6" s="256"/>
      <c r="H6" s="256"/>
      <c r="I6" s="256"/>
    </row>
    <row r="7" spans="1:10" ht="12.75">
      <c r="A7" s="90"/>
      <c r="B7" s="94" t="s">
        <v>216</v>
      </c>
      <c r="C7" s="90"/>
      <c r="D7" s="44"/>
      <c r="E7" s="107"/>
      <c r="F7" s="42">
        <v>10000</v>
      </c>
      <c r="G7" s="256"/>
      <c r="H7" s="246"/>
      <c r="I7" s="218">
        <f>F7-H7</f>
        <v>10000</v>
      </c>
      <c r="J7" s="238" t="s">
        <v>319</v>
      </c>
    </row>
    <row r="8" spans="1:9" ht="12.75">
      <c r="A8" s="90"/>
      <c r="B8" s="90"/>
      <c r="C8" s="90"/>
      <c r="D8" s="44"/>
      <c r="E8" s="107"/>
      <c r="F8" s="42"/>
      <c r="G8" s="256"/>
      <c r="H8" s="256"/>
      <c r="I8" s="276"/>
    </row>
    <row r="9" spans="1:9" ht="16.5" customHeight="1">
      <c r="A9" s="178"/>
      <c r="B9" s="181" t="s">
        <v>8</v>
      </c>
      <c r="C9" s="178" t="s">
        <v>9</v>
      </c>
      <c r="D9" s="193" t="s">
        <v>9</v>
      </c>
      <c r="E9" s="198"/>
      <c r="F9" s="189">
        <f>F7</f>
        <v>10000</v>
      </c>
      <c r="G9" s="256"/>
      <c r="H9" s="256"/>
      <c r="I9" s="256"/>
    </row>
    <row r="10" spans="1:19" s="50" customFormat="1" ht="15.75">
      <c r="A10" s="55"/>
      <c r="G10" s="257"/>
      <c r="H10" s="257"/>
      <c r="I10" s="257"/>
      <c r="J10" s="258"/>
      <c r="K10" s="258"/>
      <c r="L10" s="258"/>
      <c r="M10" s="258"/>
      <c r="N10" s="108"/>
      <c r="O10" s="108"/>
      <c r="P10" s="108"/>
      <c r="Q10" s="108"/>
      <c r="R10" s="108"/>
      <c r="S10" s="108"/>
    </row>
    <row r="11" spans="1:19" s="50" customFormat="1" ht="12.75" customHeight="1">
      <c r="A11" s="55"/>
      <c r="G11" s="257"/>
      <c r="H11" s="257"/>
      <c r="I11" s="257"/>
      <c r="J11" s="258"/>
      <c r="K11" s="258"/>
      <c r="L11" s="258"/>
      <c r="M11" s="258"/>
      <c r="N11" s="108"/>
      <c r="O11" s="108"/>
      <c r="P11" s="108"/>
      <c r="Q11" s="108"/>
      <c r="R11" s="108"/>
      <c r="S11" s="108"/>
    </row>
    <row r="12" spans="1:19" s="47" customFormat="1" ht="46.5" customHeight="1">
      <c r="A12" s="511" t="s">
        <v>355</v>
      </c>
      <c r="B12" s="511"/>
      <c r="C12" s="511"/>
      <c r="D12" s="511"/>
      <c r="E12" s="511"/>
      <c r="F12" s="511"/>
      <c r="G12" s="250"/>
      <c r="H12" s="250"/>
      <c r="I12" s="250"/>
      <c r="J12" s="251"/>
      <c r="K12" s="251"/>
      <c r="L12" s="251"/>
      <c r="M12" s="251"/>
      <c r="N12" s="95"/>
      <c r="O12" s="95"/>
      <c r="P12" s="95"/>
      <c r="Q12" s="95"/>
      <c r="R12" s="95"/>
      <c r="S12" s="95"/>
    </row>
    <row r="13" spans="1:6" ht="15.75">
      <c r="A13" s="504"/>
      <c r="B13" s="504"/>
      <c r="C13" s="504"/>
      <c r="D13" s="504"/>
      <c r="E13" s="504"/>
      <c r="F13" s="504"/>
    </row>
    <row r="14" spans="1:26" s="50" customFormat="1" ht="15.75">
      <c r="A14" s="504" t="s">
        <v>209</v>
      </c>
      <c r="B14" s="504"/>
      <c r="C14" s="504"/>
      <c r="D14" s="512" t="s">
        <v>217</v>
      </c>
      <c r="E14" s="512"/>
      <c r="F14" s="512"/>
      <c r="G14" s="252"/>
      <c r="H14" s="252"/>
      <c r="I14" s="252"/>
      <c r="J14" s="253"/>
      <c r="K14" s="253"/>
      <c r="L14" s="253"/>
      <c r="M14" s="253"/>
      <c r="N14" s="96"/>
      <c r="O14" s="96"/>
      <c r="P14" s="96"/>
      <c r="Q14" s="96"/>
      <c r="R14" s="96"/>
      <c r="S14" s="97"/>
      <c r="Z14" s="98"/>
    </row>
    <row r="15" spans="1:26" s="109" customFormat="1" ht="12.75" customHeight="1">
      <c r="A15" s="53"/>
      <c r="C15" s="110"/>
      <c r="D15" s="110"/>
      <c r="E15" s="110"/>
      <c r="F15" s="110"/>
      <c r="G15" s="260"/>
      <c r="H15" s="260"/>
      <c r="I15" s="260"/>
      <c r="J15" s="260"/>
      <c r="K15" s="260"/>
      <c r="L15" s="260"/>
      <c r="M15" s="260"/>
      <c r="N15" s="111"/>
      <c r="O15" s="111"/>
      <c r="P15" s="111"/>
      <c r="Q15" s="111"/>
      <c r="R15" s="111"/>
      <c r="S15" s="111"/>
      <c r="Z15" s="112"/>
    </row>
    <row r="16" spans="1:26" s="50" customFormat="1" ht="15" customHeight="1">
      <c r="A16" s="504" t="s">
        <v>1</v>
      </c>
      <c r="B16" s="504"/>
      <c r="C16" s="504"/>
      <c r="D16" s="505" t="s">
        <v>39</v>
      </c>
      <c r="E16" s="505"/>
      <c r="F16" s="505"/>
      <c r="G16" s="254"/>
      <c r="H16" s="254"/>
      <c r="I16" s="254"/>
      <c r="J16" s="255"/>
      <c r="K16" s="255"/>
      <c r="L16" s="255"/>
      <c r="M16" s="255"/>
      <c r="N16" s="100"/>
      <c r="O16" s="100"/>
      <c r="P16" s="100"/>
      <c r="Q16" s="100"/>
      <c r="R16" s="100"/>
      <c r="S16" s="101"/>
      <c r="Z16" s="98"/>
    </row>
    <row r="17" spans="1:19" s="109" customFormat="1" ht="8.25">
      <c r="A17" s="113"/>
      <c r="G17" s="260"/>
      <c r="H17" s="260"/>
      <c r="I17" s="260"/>
      <c r="J17" s="261"/>
      <c r="K17" s="261"/>
      <c r="L17" s="261"/>
      <c r="M17" s="261"/>
      <c r="N17" s="114"/>
      <c r="O17" s="114"/>
      <c r="P17" s="114"/>
      <c r="Q17" s="114"/>
      <c r="R17" s="114"/>
      <c r="S17" s="114"/>
    </row>
    <row r="18" spans="1:6" ht="81" customHeight="1">
      <c r="A18" s="115" t="s">
        <v>211</v>
      </c>
      <c r="B18" s="506" t="s">
        <v>13</v>
      </c>
      <c r="C18" s="507"/>
      <c r="D18" s="507"/>
      <c r="E18" s="116" t="s">
        <v>218</v>
      </c>
      <c r="F18" s="44" t="s">
        <v>219</v>
      </c>
    </row>
    <row r="19" spans="1:6" ht="12.75">
      <c r="A19" s="93">
        <v>1</v>
      </c>
      <c r="B19" s="508">
        <v>2</v>
      </c>
      <c r="C19" s="509"/>
      <c r="D19" s="509"/>
      <c r="E19" s="93">
        <v>3</v>
      </c>
      <c r="F19" s="44">
        <v>4</v>
      </c>
    </row>
    <row r="20" spans="1:6" ht="12.75">
      <c r="A20" s="93">
        <v>1</v>
      </c>
      <c r="B20" s="498" t="s">
        <v>15</v>
      </c>
      <c r="C20" s="499"/>
      <c r="D20" s="499"/>
      <c r="E20" s="117"/>
      <c r="F20" s="42">
        <f>8383964.58+409460.51</f>
        <v>8793425.09</v>
      </c>
    </row>
    <row r="21" spans="1:6" ht="12.75">
      <c r="A21" s="89" t="s">
        <v>14</v>
      </c>
      <c r="B21" s="496" t="s">
        <v>220</v>
      </c>
      <c r="C21" s="497"/>
      <c r="D21" s="497"/>
      <c r="E21" s="118"/>
      <c r="F21" s="42"/>
    </row>
    <row r="22" spans="1:6" ht="12.75">
      <c r="A22" s="93" t="s">
        <v>17</v>
      </c>
      <c r="B22" s="498" t="s">
        <v>16</v>
      </c>
      <c r="C22" s="499"/>
      <c r="D22" s="500"/>
      <c r="E22" s="119"/>
      <c r="F22" s="42"/>
    </row>
    <row r="23" spans="1:6" ht="31.5" customHeight="1">
      <c r="A23" s="91" t="s">
        <v>18</v>
      </c>
      <c r="B23" s="501" t="s">
        <v>221</v>
      </c>
      <c r="C23" s="502"/>
      <c r="D23" s="502"/>
      <c r="E23" s="120"/>
      <c r="F23" s="42"/>
    </row>
    <row r="24" spans="1:6" ht="23.25" customHeight="1">
      <c r="A24" s="89">
        <v>2</v>
      </c>
      <c r="B24" s="493" t="s">
        <v>222</v>
      </c>
      <c r="C24" s="494"/>
      <c r="D24" s="494"/>
      <c r="E24" s="119"/>
      <c r="F24" s="42"/>
    </row>
    <row r="25" spans="1:6" ht="34.5" customHeight="1">
      <c r="A25" s="89" t="s">
        <v>19</v>
      </c>
      <c r="B25" s="493" t="s">
        <v>223</v>
      </c>
      <c r="C25" s="494"/>
      <c r="D25" s="494"/>
      <c r="E25" s="119"/>
      <c r="F25" s="42"/>
    </row>
    <row r="26" spans="1:6" ht="26.25" customHeight="1">
      <c r="A26" s="89" t="s">
        <v>20</v>
      </c>
      <c r="B26" s="493" t="s">
        <v>224</v>
      </c>
      <c r="C26" s="494"/>
      <c r="D26" s="494"/>
      <c r="E26" s="119"/>
      <c r="F26" s="42"/>
    </row>
    <row r="27" spans="1:6" ht="24.75" customHeight="1">
      <c r="A27" s="89" t="s">
        <v>21</v>
      </c>
      <c r="B27" s="493" t="s">
        <v>225</v>
      </c>
      <c r="C27" s="494"/>
      <c r="D27" s="494"/>
      <c r="E27" s="119"/>
      <c r="F27" s="42"/>
    </row>
    <row r="28" spans="1:6" ht="23.25" customHeight="1">
      <c r="A28" s="89" t="s">
        <v>22</v>
      </c>
      <c r="B28" s="493" t="s">
        <v>225</v>
      </c>
      <c r="C28" s="494"/>
      <c r="D28" s="494"/>
      <c r="E28" s="119"/>
      <c r="F28" s="42"/>
    </row>
    <row r="29" spans="1:6" ht="24" customHeight="1">
      <c r="A29" s="89" t="s">
        <v>23</v>
      </c>
      <c r="B29" s="493" t="s">
        <v>226</v>
      </c>
      <c r="C29" s="494"/>
      <c r="D29" s="494"/>
      <c r="E29" s="119"/>
      <c r="F29" s="42"/>
    </row>
    <row r="30" spans="1:6" ht="26.25" customHeight="1">
      <c r="A30" s="89">
        <v>3</v>
      </c>
      <c r="B30" s="493" t="s">
        <v>227</v>
      </c>
      <c r="C30" s="494"/>
      <c r="D30" s="494"/>
      <c r="E30" s="119"/>
      <c r="F30" s="42"/>
    </row>
    <row r="31" spans="1:6" ht="20.25" customHeight="1">
      <c r="A31" s="193"/>
      <c r="B31" s="495" t="s">
        <v>8</v>
      </c>
      <c r="C31" s="495"/>
      <c r="D31" s="495"/>
      <c r="E31" s="199"/>
      <c r="F31" s="189">
        <f>F20</f>
        <v>8793425.09</v>
      </c>
    </row>
    <row r="32" spans="1:2" ht="12.75">
      <c r="A32" s="92"/>
      <c r="B32" s="121"/>
    </row>
    <row r="33" spans="1:19" s="123" customFormat="1" ht="11.25">
      <c r="A33" s="503" t="s">
        <v>29</v>
      </c>
      <c r="B33" s="503"/>
      <c r="C33" s="503"/>
      <c r="D33" s="503"/>
      <c r="E33" s="503"/>
      <c r="F33" s="503"/>
      <c r="G33" s="262"/>
      <c r="H33" s="262"/>
      <c r="I33" s="262"/>
      <c r="J33" s="263"/>
      <c r="K33" s="263"/>
      <c r="L33" s="263"/>
      <c r="M33" s="263"/>
      <c r="N33" s="122"/>
      <c r="O33" s="122"/>
      <c r="P33" s="122"/>
      <c r="Q33" s="122"/>
      <c r="R33" s="122"/>
      <c r="S33" s="122"/>
    </row>
    <row r="34" spans="1:19" s="123" customFormat="1" ht="11.25">
      <c r="A34" s="503"/>
      <c r="B34" s="503"/>
      <c r="C34" s="503"/>
      <c r="D34" s="503"/>
      <c r="E34" s="503"/>
      <c r="F34" s="503"/>
      <c r="G34" s="262"/>
      <c r="H34" s="262"/>
      <c r="I34" s="262"/>
      <c r="J34" s="263"/>
      <c r="K34" s="263"/>
      <c r="L34" s="263"/>
      <c r="M34" s="263"/>
      <c r="N34" s="122"/>
      <c r="O34" s="122"/>
      <c r="P34" s="122"/>
      <c r="Q34" s="122"/>
      <c r="R34" s="122"/>
      <c r="S34" s="122"/>
    </row>
    <row r="35" spans="1:19" s="123" customFormat="1" ht="11.25">
      <c r="A35" s="503"/>
      <c r="B35" s="503"/>
      <c r="C35" s="503"/>
      <c r="D35" s="503"/>
      <c r="E35" s="503"/>
      <c r="F35" s="503"/>
      <c r="G35" s="262"/>
      <c r="H35" s="262"/>
      <c r="I35" s="262"/>
      <c r="J35" s="263"/>
      <c r="K35" s="263"/>
      <c r="L35" s="263"/>
      <c r="M35" s="263"/>
      <c r="N35" s="122"/>
      <c r="O35" s="122"/>
      <c r="P35" s="122"/>
      <c r="Q35" s="122"/>
      <c r="R35" s="122"/>
      <c r="S35" s="122"/>
    </row>
  </sheetData>
  <sheetProtection/>
  <mergeCells count="26">
    <mergeCell ref="B20:D20"/>
    <mergeCell ref="A1:F1"/>
    <mergeCell ref="A2:C2"/>
    <mergeCell ref="A3:C3"/>
    <mergeCell ref="D3:F3"/>
    <mergeCell ref="A12:F12"/>
    <mergeCell ref="A13:F13"/>
    <mergeCell ref="D14:F14"/>
    <mergeCell ref="D2:F2"/>
    <mergeCell ref="A33:F35"/>
    <mergeCell ref="B26:D26"/>
    <mergeCell ref="B27:D27"/>
    <mergeCell ref="B28:D28"/>
    <mergeCell ref="B29:D29"/>
    <mergeCell ref="A14:C14"/>
    <mergeCell ref="A16:C16"/>
    <mergeCell ref="D16:F16"/>
    <mergeCell ref="B18:D18"/>
    <mergeCell ref="B19:D19"/>
    <mergeCell ref="B30:D30"/>
    <mergeCell ref="B31:D31"/>
    <mergeCell ref="B21:D21"/>
    <mergeCell ref="B22:D22"/>
    <mergeCell ref="B23:D23"/>
    <mergeCell ref="B24:D24"/>
    <mergeCell ref="B25:D2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125"/>
  <sheetViews>
    <sheetView view="pageBreakPreview" zoomScaleSheetLayoutView="100" workbookViewId="0" topLeftCell="A63">
      <selection activeCell="G71" sqref="G71"/>
    </sheetView>
  </sheetViews>
  <sheetFormatPr defaultColWidth="1.12109375" defaultRowHeight="12.75"/>
  <cols>
    <col min="1" max="1" width="4.125" style="54" customWidth="1"/>
    <col min="2" max="2" width="36.125" style="54" customWidth="1"/>
    <col min="3" max="3" width="10.625" style="54" customWidth="1"/>
    <col min="4" max="4" width="15.625" style="54" customWidth="1"/>
    <col min="5" max="5" width="35.00390625" style="54" customWidth="1"/>
    <col min="6" max="8" width="13.625" style="239" customWidth="1"/>
    <col min="9" max="9" width="12.375" style="216" customWidth="1"/>
    <col min="10" max="10" width="14.00390625" style="54" customWidth="1"/>
    <col min="11" max="46" width="20.125" style="54" customWidth="1"/>
    <col min="47" max="16384" width="1.12109375" style="54" customWidth="1"/>
  </cols>
  <sheetData>
    <row r="1" spans="1:9" s="52" customFormat="1" ht="15.75" hidden="1">
      <c r="A1" s="514" t="s">
        <v>25</v>
      </c>
      <c r="B1" s="514"/>
      <c r="C1" s="514"/>
      <c r="D1" s="514"/>
      <c r="E1" s="514"/>
      <c r="F1" s="240"/>
      <c r="G1" s="240"/>
      <c r="H1" s="240"/>
      <c r="I1" s="241"/>
    </row>
    <row r="2" spans="6:9" s="53" customFormat="1" ht="9.75" hidden="1">
      <c r="F2" s="242"/>
      <c r="G2" s="242"/>
      <c r="H2" s="242"/>
      <c r="I2" s="243"/>
    </row>
    <row r="3" spans="1:9" s="52" customFormat="1" ht="15.75" hidden="1">
      <c r="A3" s="52" t="s">
        <v>0</v>
      </c>
      <c r="C3" s="520"/>
      <c r="D3" s="520"/>
      <c r="E3" s="520"/>
      <c r="F3" s="240"/>
      <c r="G3" s="240"/>
      <c r="H3" s="240"/>
      <c r="I3" s="241"/>
    </row>
    <row r="4" spans="6:9" s="53" customFormat="1" ht="9.75" hidden="1">
      <c r="F4" s="242"/>
      <c r="G4" s="242"/>
      <c r="H4" s="242"/>
      <c r="I4" s="243"/>
    </row>
    <row r="5" spans="1:9" s="52" customFormat="1" ht="15.75" hidden="1">
      <c r="A5" s="52" t="s">
        <v>1</v>
      </c>
      <c r="C5" s="518"/>
      <c r="D5" s="518"/>
      <c r="E5" s="518"/>
      <c r="F5" s="240"/>
      <c r="G5" s="240"/>
      <c r="H5" s="240"/>
      <c r="I5" s="241"/>
    </row>
    <row r="6" ht="12.75" hidden="1"/>
    <row r="7" spans="1:5" ht="12.75" customHeight="1" hidden="1">
      <c r="A7" s="89" t="s">
        <v>3</v>
      </c>
      <c r="B7" s="89" t="s">
        <v>24</v>
      </c>
      <c r="C7" s="124"/>
      <c r="D7" s="124"/>
      <c r="E7" s="89" t="s">
        <v>26</v>
      </c>
    </row>
    <row r="8" spans="1:5" ht="12.75" customHeight="1" hidden="1">
      <c r="A8" s="91" t="s">
        <v>4</v>
      </c>
      <c r="B8" s="91"/>
      <c r="C8" s="92"/>
      <c r="D8" s="92"/>
      <c r="E8" s="91" t="s">
        <v>27</v>
      </c>
    </row>
    <row r="9" spans="1:5" ht="12.75" customHeight="1" hidden="1">
      <c r="A9" s="91"/>
      <c r="B9" s="91"/>
      <c r="C9" s="92"/>
      <c r="D9" s="92"/>
      <c r="E9" s="91" t="s">
        <v>28</v>
      </c>
    </row>
    <row r="10" spans="1:5" ht="12.75" customHeight="1" hidden="1">
      <c r="A10" s="93">
        <v>1</v>
      </c>
      <c r="B10" s="93">
        <v>2</v>
      </c>
      <c r="C10" s="125"/>
      <c r="D10" s="125"/>
      <c r="E10" s="93">
        <v>5</v>
      </c>
    </row>
    <row r="11" spans="1:5" ht="12.75" customHeight="1" hidden="1">
      <c r="A11" s="90"/>
      <c r="B11" s="90"/>
      <c r="C11" s="127"/>
      <c r="D11" s="125"/>
      <c r="E11" s="90"/>
    </row>
    <row r="12" spans="1:5" ht="12.75" customHeight="1" hidden="1">
      <c r="A12" s="90"/>
      <c r="B12" s="90"/>
      <c r="C12" s="127"/>
      <c r="D12" s="125"/>
      <c r="E12" s="90"/>
    </row>
    <row r="13" spans="1:5" ht="12.75" customHeight="1" hidden="1">
      <c r="A13" s="90"/>
      <c r="B13" s="93" t="s">
        <v>8</v>
      </c>
      <c r="C13" s="127"/>
      <c r="D13" s="125"/>
      <c r="E13" s="90"/>
    </row>
    <row r="14" spans="6:9" s="55" customFormat="1" ht="15.75" hidden="1">
      <c r="F14" s="244"/>
      <c r="G14" s="244"/>
      <c r="H14" s="244"/>
      <c r="I14" s="245"/>
    </row>
    <row r="15" spans="1:9" s="52" customFormat="1" ht="15.75">
      <c r="A15" s="514" t="s">
        <v>30</v>
      </c>
      <c r="B15" s="514"/>
      <c r="C15" s="514"/>
      <c r="D15" s="514"/>
      <c r="E15" s="514"/>
      <c r="F15" s="240"/>
      <c r="G15" s="240"/>
      <c r="H15" s="240"/>
      <c r="I15" s="241"/>
    </row>
    <row r="16" spans="6:9" s="53" customFormat="1" ht="9.75">
      <c r="F16" s="242"/>
      <c r="G16" s="242"/>
      <c r="H16" s="242"/>
      <c r="I16" s="243"/>
    </row>
    <row r="17" spans="1:9" s="52" customFormat="1" ht="15.75">
      <c r="A17" s="514" t="s">
        <v>0</v>
      </c>
      <c r="B17" s="514"/>
      <c r="C17" s="516" t="s">
        <v>248</v>
      </c>
      <c r="D17" s="516"/>
      <c r="E17" s="516"/>
      <c r="F17" s="240"/>
      <c r="G17" s="240"/>
      <c r="H17" s="240"/>
      <c r="I17" s="241"/>
    </row>
    <row r="18" spans="6:9" s="53" customFormat="1" ht="9.75">
      <c r="F18" s="242"/>
      <c r="G18" s="242"/>
      <c r="H18" s="242"/>
      <c r="I18" s="243"/>
    </row>
    <row r="19" spans="1:9" s="52" customFormat="1" ht="18.75" customHeight="1">
      <c r="A19" s="514" t="s">
        <v>1</v>
      </c>
      <c r="B19" s="514"/>
      <c r="C19" s="515" t="s">
        <v>39</v>
      </c>
      <c r="D19" s="515"/>
      <c r="E19" s="515"/>
      <c r="F19" s="240"/>
      <c r="G19" s="240"/>
      <c r="H19" s="240"/>
      <c r="I19" s="241"/>
    </row>
    <row r="21" spans="1:8" ht="37.5" customHeight="1">
      <c r="A21" s="149" t="s">
        <v>211</v>
      </c>
      <c r="B21" s="148" t="s">
        <v>11</v>
      </c>
      <c r="C21" s="133" t="s">
        <v>228</v>
      </c>
      <c r="D21" s="133" t="s">
        <v>229</v>
      </c>
      <c r="E21" s="133" t="s">
        <v>230</v>
      </c>
      <c r="F21" s="213" t="s">
        <v>48</v>
      </c>
      <c r="G21" s="213" t="s">
        <v>49</v>
      </c>
      <c r="H21" s="213" t="s">
        <v>210</v>
      </c>
    </row>
    <row r="22" spans="1:8" ht="12.75">
      <c r="A22" s="93">
        <v>1</v>
      </c>
      <c r="B22" s="93">
        <v>2</v>
      </c>
      <c r="C22" s="44">
        <v>3</v>
      </c>
      <c r="D22" s="44">
        <v>4</v>
      </c>
      <c r="E22" s="44">
        <v>5</v>
      </c>
      <c r="F22" s="218"/>
      <c r="G22" s="218"/>
      <c r="H22" s="218"/>
    </row>
    <row r="23" spans="1:11" ht="12.75">
      <c r="A23" s="90"/>
      <c r="B23" s="130" t="s">
        <v>37</v>
      </c>
      <c r="C23" s="131"/>
      <c r="D23" s="132"/>
      <c r="E23" s="126">
        <v>25701</v>
      </c>
      <c r="F23" s="218">
        <f>6159+6106</f>
        <v>12265</v>
      </c>
      <c r="G23" s="365">
        <f>6159+6106</f>
        <v>12265</v>
      </c>
      <c r="H23" s="366">
        <f>E23-G23</f>
        <v>13436</v>
      </c>
      <c r="I23" s="216">
        <v>38817</v>
      </c>
      <c r="J23" s="43">
        <f>E23-I23</f>
        <v>-13116</v>
      </c>
      <c r="K23" s="54" t="s">
        <v>370</v>
      </c>
    </row>
    <row r="24" spans="1:11" ht="12.75">
      <c r="A24" s="90"/>
      <c r="B24" s="130" t="s">
        <v>38</v>
      </c>
      <c r="C24" s="131"/>
      <c r="D24" s="132"/>
      <c r="E24" s="126">
        <v>186189</v>
      </c>
      <c r="F24" s="218"/>
      <c r="G24" s="276"/>
      <c r="H24" s="366">
        <f>E24-G24</f>
        <v>186189</v>
      </c>
      <c r="I24" s="216">
        <v>37668</v>
      </c>
      <c r="J24" s="43">
        <f>E24-I24</f>
        <v>148521</v>
      </c>
      <c r="K24" s="54" t="s">
        <v>371</v>
      </c>
    </row>
    <row r="25" spans="1:8" ht="12.75">
      <c r="A25" s="44"/>
      <c r="B25" s="44"/>
      <c r="C25" s="131"/>
      <c r="D25" s="132"/>
      <c r="E25" s="42"/>
      <c r="F25" s="218"/>
      <c r="G25" s="218"/>
      <c r="H25" s="218"/>
    </row>
    <row r="26" spans="1:8" ht="12.75">
      <c r="A26" s="193"/>
      <c r="B26" s="194" t="s">
        <v>8</v>
      </c>
      <c r="C26" s="191" t="s">
        <v>9</v>
      </c>
      <c r="D26" s="191" t="s">
        <v>9</v>
      </c>
      <c r="E26" s="189">
        <f>SUM(E23:E25)</f>
        <v>211890</v>
      </c>
      <c r="F26" s="218"/>
      <c r="G26" s="218"/>
      <c r="H26" s="218"/>
    </row>
    <row r="27" spans="1:5" ht="15.75">
      <c r="A27" s="52"/>
      <c r="B27" s="514" t="s">
        <v>30</v>
      </c>
      <c r="C27" s="514"/>
      <c r="D27" s="514"/>
      <c r="E27" s="514"/>
    </row>
    <row r="28" spans="1:5" ht="12.75">
      <c r="A28" s="53"/>
      <c r="B28" s="53"/>
      <c r="C28" s="53"/>
      <c r="D28" s="53"/>
      <c r="E28" s="53"/>
    </row>
    <row r="29" spans="1:9" s="52" customFormat="1" ht="15.75">
      <c r="A29" s="514" t="s">
        <v>0</v>
      </c>
      <c r="B29" s="514"/>
      <c r="C29" s="519" t="s">
        <v>249</v>
      </c>
      <c r="D29" s="519"/>
      <c r="E29" s="519"/>
      <c r="F29" s="240"/>
      <c r="G29" s="240"/>
      <c r="H29" s="240"/>
      <c r="I29" s="241"/>
    </row>
    <row r="30" spans="6:9" s="53" customFormat="1" ht="9.75">
      <c r="F30" s="242"/>
      <c r="G30" s="242"/>
      <c r="H30" s="242"/>
      <c r="I30" s="243"/>
    </row>
    <row r="31" spans="1:9" s="52" customFormat="1" ht="15.75">
      <c r="A31" s="514" t="s">
        <v>1</v>
      </c>
      <c r="B31" s="514"/>
      <c r="C31" s="518" t="s">
        <v>39</v>
      </c>
      <c r="D31" s="518"/>
      <c r="E31" s="518"/>
      <c r="F31" s="240"/>
      <c r="G31" s="240"/>
      <c r="H31" s="240"/>
      <c r="I31" s="241"/>
    </row>
    <row r="32" spans="1:9" s="53" customFormat="1" ht="12.75">
      <c r="A32" s="54"/>
      <c r="B32" s="54"/>
      <c r="C32" s="54"/>
      <c r="D32" s="54"/>
      <c r="E32" s="54"/>
      <c r="F32" s="242"/>
      <c r="G32" s="242"/>
      <c r="H32" s="242"/>
      <c r="I32" s="243"/>
    </row>
    <row r="33" spans="1:9" s="52" customFormat="1" ht="41.25" customHeight="1">
      <c r="A33" s="133" t="s">
        <v>211</v>
      </c>
      <c r="B33" s="133" t="s">
        <v>11</v>
      </c>
      <c r="C33" s="133" t="s">
        <v>228</v>
      </c>
      <c r="D33" s="133" t="s">
        <v>229</v>
      </c>
      <c r="E33" s="133" t="s">
        <v>230</v>
      </c>
      <c r="F33" s="213" t="s">
        <v>48</v>
      </c>
      <c r="G33" s="213" t="s">
        <v>49</v>
      </c>
      <c r="H33" s="213" t="s">
        <v>210</v>
      </c>
      <c r="I33" s="241"/>
    </row>
    <row r="34" spans="1:8" ht="12.75">
      <c r="A34" s="44">
        <v>1</v>
      </c>
      <c r="B34" s="44">
        <v>2</v>
      </c>
      <c r="C34" s="44">
        <v>3</v>
      </c>
      <c r="D34" s="44">
        <v>4</v>
      </c>
      <c r="E34" s="44">
        <v>5</v>
      </c>
      <c r="F34" s="218"/>
      <c r="G34" s="218"/>
      <c r="H34" s="218"/>
    </row>
    <row r="35" spans="1:8" ht="12.75">
      <c r="A35" s="44"/>
      <c r="B35" s="94"/>
      <c r="C35" s="44"/>
      <c r="D35" s="44"/>
      <c r="E35" s="134"/>
      <c r="F35" s="218"/>
      <c r="G35" s="218"/>
      <c r="H35" s="218">
        <f>E35-G35</f>
        <v>0</v>
      </c>
    </row>
    <row r="36" spans="1:8" ht="12.75">
      <c r="A36" s="44"/>
      <c r="B36" s="90"/>
      <c r="C36" s="44"/>
      <c r="D36" s="44"/>
      <c r="E36" s="134"/>
      <c r="F36" s="218"/>
      <c r="G36" s="218"/>
      <c r="H36" s="218"/>
    </row>
    <row r="37" spans="1:8" ht="12.75">
      <c r="A37" s="160"/>
      <c r="B37" s="160"/>
      <c r="C37" s="160"/>
      <c r="D37" s="160"/>
      <c r="E37" s="134"/>
      <c r="F37" s="218"/>
      <c r="G37" s="218"/>
      <c r="H37" s="218"/>
    </row>
    <row r="38" spans="1:8" ht="12.75">
      <c r="A38" s="193"/>
      <c r="B38" s="194" t="s">
        <v>8</v>
      </c>
      <c r="C38" s="191" t="s">
        <v>9</v>
      </c>
      <c r="D38" s="191" t="s">
        <v>9</v>
      </c>
      <c r="E38" s="195">
        <f>SUM(E35:E37)</f>
        <v>0</v>
      </c>
      <c r="F38" s="218"/>
      <c r="G38" s="218"/>
      <c r="H38" s="218"/>
    </row>
    <row r="39" spans="1:9" s="52" customFormat="1" ht="15.75">
      <c r="A39" s="521" t="s">
        <v>30</v>
      </c>
      <c r="B39" s="521"/>
      <c r="C39" s="521"/>
      <c r="D39" s="521"/>
      <c r="E39" s="521"/>
      <c r="F39" s="240"/>
      <c r="G39" s="240"/>
      <c r="H39" s="240"/>
      <c r="I39" s="241"/>
    </row>
    <row r="40" spans="6:9" s="53" customFormat="1" ht="9.75">
      <c r="F40" s="242"/>
      <c r="G40" s="242"/>
      <c r="H40" s="242"/>
      <c r="I40" s="243"/>
    </row>
    <row r="41" spans="1:9" s="52" customFormat="1" ht="15.75">
      <c r="A41" s="514" t="s">
        <v>0</v>
      </c>
      <c r="B41" s="514"/>
      <c r="C41" s="516" t="s">
        <v>245</v>
      </c>
      <c r="D41" s="516"/>
      <c r="E41" s="516"/>
      <c r="F41" s="240"/>
      <c r="G41" s="240"/>
      <c r="H41" s="240"/>
      <c r="I41" s="241"/>
    </row>
    <row r="42" spans="6:9" s="53" customFormat="1" ht="9.75">
      <c r="F42" s="242"/>
      <c r="G42" s="242"/>
      <c r="H42" s="242"/>
      <c r="I42" s="243"/>
    </row>
    <row r="43" spans="1:9" s="52" customFormat="1" ht="18" customHeight="1">
      <c r="A43" s="514" t="s">
        <v>1</v>
      </c>
      <c r="B43" s="514"/>
      <c r="C43" s="518" t="s">
        <v>39</v>
      </c>
      <c r="D43" s="518"/>
      <c r="E43" s="518"/>
      <c r="F43" s="240"/>
      <c r="G43" s="240"/>
      <c r="H43" s="240"/>
      <c r="I43" s="241"/>
    </row>
    <row r="45" spans="1:8" ht="38.25">
      <c r="A45" s="133" t="s">
        <v>211</v>
      </c>
      <c r="B45" s="45" t="s">
        <v>11</v>
      </c>
      <c r="C45" s="133" t="s">
        <v>228</v>
      </c>
      <c r="D45" s="133" t="s">
        <v>229</v>
      </c>
      <c r="E45" s="133" t="s">
        <v>230</v>
      </c>
      <c r="F45" s="213" t="s">
        <v>48</v>
      </c>
      <c r="G45" s="213" t="s">
        <v>49</v>
      </c>
      <c r="H45" s="213" t="s">
        <v>210</v>
      </c>
    </row>
    <row r="46" spans="1:8" ht="12.75">
      <c r="A46" s="44">
        <v>1</v>
      </c>
      <c r="B46" s="44">
        <v>2</v>
      </c>
      <c r="C46" s="44">
        <v>3</v>
      </c>
      <c r="D46" s="44">
        <v>4</v>
      </c>
      <c r="E46" s="44">
        <v>5</v>
      </c>
      <c r="F46" s="218"/>
      <c r="G46" s="218"/>
      <c r="H46" s="218"/>
    </row>
    <row r="47" spans="1:8" ht="37.5" customHeight="1">
      <c r="A47" s="90"/>
      <c r="B47" s="135" t="s">
        <v>410</v>
      </c>
      <c r="C47" s="131"/>
      <c r="D47" s="132"/>
      <c r="E47" s="42">
        <v>1.39</v>
      </c>
      <c r="F47" s="218"/>
      <c r="G47" s="218"/>
      <c r="H47" s="247">
        <f>E47-G47</f>
        <v>1.39</v>
      </c>
    </row>
    <row r="48" spans="1:8" ht="20.25" customHeight="1">
      <c r="A48" s="90"/>
      <c r="B48" s="167" t="s">
        <v>344</v>
      </c>
      <c r="C48" s="137"/>
      <c r="D48" s="138"/>
      <c r="E48" s="147"/>
      <c r="F48" s="218"/>
      <c r="G48" s="276"/>
      <c r="H48" s="247">
        <f>E48-G48</f>
        <v>0</v>
      </c>
    </row>
    <row r="49" spans="1:8" ht="12.75">
      <c r="A49" s="196"/>
      <c r="B49" s="194" t="s">
        <v>8</v>
      </c>
      <c r="C49" s="191" t="s">
        <v>9</v>
      </c>
      <c r="D49" s="191" t="s">
        <v>9</v>
      </c>
      <c r="E49" s="189">
        <f>E47+E48</f>
        <v>1.39</v>
      </c>
      <c r="F49" s="218"/>
      <c r="G49" s="218"/>
      <c r="H49" s="218"/>
    </row>
    <row r="50" spans="6:9" s="55" customFormat="1" ht="15.75">
      <c r="F50" s="244"/>
      <c r="G50" s="244"/>
      <c r="H50" s="244"/>
      <c r="I50" s="245"/>
    </row>
    <row r="51" spans="1:9" s="52" customFormat="1" ht="24.75" customHeight="1">
      <c r="A51" s="529" t="s">
        <v>346</v>
      </c>
      <c r="B51" s="529"/>
      <c r="C51" s="529"/>
      <c r="D51" s="529"/>
      <c r="E51" s="529"/>
      <c r="F51" s="240"/>
      <c r="G51" s="240"/>
      <c r="H51" s="240"/>
      <c r="I51" s="241"/>
    </row>
    <row r="52" spans="6:9" s="53" customFormat="1" ht="3" customHeight="1">
      <c r="F52" s="242"/>
      <c r="G52" s="242"/>
      <c r="H52" s="242"/>
      <c r="I52" s="243"/>
    </row>
    <row r="53" spans="1:9" s="52" customFormat="1" ht="12.75" customHeight="1">
      <c r="A53" s="514" t="s">
        <v>0</v>
      </c>
      <c r="B53" s="514"/>
      <c r="C53" s="519"/>
      <c r="D53" s="519"/>
      <c r="E53" s="519"/>
      <c r="F53" s="240"/>
      <c r="G53" s="240"/>
      <c r="H53" s="240"/>
      <c r="I53" s="241"/>
    </row>
    <row r="54" spans="6:9" s="53" customFormat="1" ht="9.75">
      <c r="F54" s="242"/>
      <c r="G54" s="242"/>
      <c r="H54" s="242"/>
      <c r="I54" s="243"/>
    </row>
    <row r="55" spans="1:9" s="52" customFormat="1" ht="18" customHeight="1">
      <c r="A55" s="514" t="s">
        <v>1</v>
      </c>
      <c r="B55" s="514"/>
      <c r="C55" s="518" t="s">
        <v>39</v>
      </c>
      <c r="D55" s="518"/>
      <c r="E55" s="518"/>
      <c r="F55" s="240"/>
      <c r="G55" s="240"/>
      <c r="H55" s="240"/>
      <c r="I55" s="241"/>
    </row>
    <row r="56" ht="4.5" customHeight="1"/>
    <row r="57" spans="1:8" ht="41.25" customHeight="1">
      <c r="A57" s="133" t="s">
        <v>211</v>
      </c>
      <c r="B57" s="133" t="s">
        <v>11</v>
      </c>
      <c r="C57" s="133" t="s">
        <v>228</v>
      </c>
      <c r="D57" s="133" t="s">
        <v>229</v>
      </c>
      <c r="E57" s="133" t="s">
        <v>230</v>
      </c>
      <c r="F57" s="213" t="s">
        <v>48</v>
      </c>
      <c r="G57" s="213" t="s">
        <v>49</v>
      </c>
      <c r="H57" s="213" t="s">
        <v>210</v>
      </c>
    </row>
    <row r="58" spans="1:8" ht="12.75">
      <c r="A58" s="44">
        <v>1</v>
      </c>
      <c r="B58" s="44">
        <v>2</v>
      </c>
      <c r="C58" s="44">
        <v>3</v>
      </c>
      <c r="D58" s="44">
        <v>4</v>
      </c>
      <c r="E58" s="44">
        <v>5</v>
      </c>
      <c r="F58" s="218"/>
      <c r="G58" s="218"/>
      <c r="H58" s="218"/>
    </row>
    <row r="59" spans="1:8" ht="12.75">
      <c r="A59" s="144" t="s">
        <v>150</v>
      </c>
      <c r="B59" s="145"/>
      <c r="C59" s="45"/>
      <c r="D59" s="45"/>
      <c r="E59" s="128"/>
      <c r="F59" s="218"/>
      <c r="G59" s="218"/>
      <c r="H59" s="218">
        <f>E59-G59</f>
        <v>0</v>
      </c>
    </row>
    <row r="60" spans="1:8" ht="12.75">
      <c r="A60" s="193"/>
      <c r="B60" s="194" t="s">
        <v>8</v>
      </c>
      <c r="C60" s="191" t="s">
        <v>9</v>
      </c>
      <c r="D60" s="191" t="s">
        <v>9</v>
      </c>
      <c r="E60" s="189">
        <f>E59</f>
        <v>0</v>
      </c>
      <c r="F60" s="218"/>
      <c r="G60" s="218"/>
      <c r="H60" s="218"/>
    </row>
    <row r="61" spans="1:9" s="52" customFormat="1" ht="15.75">
      <c r="A61" s="514" t="s">
        <v>0</v>
      </c>
      <c r="B61" s="514"/>
      <c r="C61" s="518"/>
      <c r="D61" s="518"/>
      <c r="E61" s="518"/>
      <c r="F61" s="240"/>
      <c r="G61" s="240"/>
      <c r="H61" s="240"/>
      <c r="I61" s="241"/>
    </row>
    <row r="62" spans="6:9" s="53" customFormat="1" ht="9.75">
      <c r="F62" s="242"/>
      <c r="G62" s="242"/>
      <c r="H62" s="242"/>
      <c r="I62" s="243"/>
    </row>
    <row r="63" spans="1:9" s="52" customFormat="1" ht="32.25" customHeight="1">
      <c r="A63" s="514" t="s">
        <v>1</v>
      </c>
      <c r="B63" s="514"/>
      <c r="C63" s="515" t="s">
        <v>42</v>
      </c>
      <c r="D63" s="515"/>
      <c r="E63" s="515"/>
      <c r="F63" s="240"/>
      <c r="G63" s="240"/>
      <c r="H63" s="240"/>
      <c r="I63" s="241"/>
    </row>
    <row r="65" spans="1:8" ht="51" customHeight="1">
      <c r="A65" s="133" t="s">
        <v>211</v>
      </c>
      <c r="B65" s="133" t="s">
        <v>11</v>
      </c>
      <c r="C65" s="133" t="s">
        <v>228</v>
      </c>
      <c r="D65" s="133" t="s">
        <v>229</v>
      </c>
      <c r="E65" s="133" t="s">
        <v>230</v>
      </c>
      <c r="F65" s="213" t="s">
        <v>48</v>
      </c>
      <c r="G65" s="213" t="s">
        <v>49</v>
      </c>
      <c r="H65" s="213" t="s">
        <v>210</v>
      </c>
    </row>
    <row r="66" spans="1:8" ht="12.75">
      <c r="A66" s="44">
        <v>1</v>
      </c>
      <c r="B66" s="44">
        <v>2</v>
      </c>
      <c r="C66" s="44">
        <v>3</v>
      </c>
      <c r="D66" s="44">
        <v>4</v>
      </c>
      <c r="E66" s="44">
        <v>5</v>
      </c>
      <c r="F66" s="218"/>
      <c r="G66" s="218"/>
      <c r="H66" s="218"/>
    </row>
    <row r="67" spans="1:8" ht="12.75">
      <c r="A67" s="44"/>
      <c r="B67" s="142" t="s">
        <v>387</v>
      </c>
      <c r="C67" s="44"/>
      <c r="D67" s="44"/>
      <c r="E67" s="42">
        <v>20956.21</v>
      </c>
      <c r="F67" s="218"/>
      <c r="G67" s="218"/>
      <c r="H67" s="218">
        <f>E67-G67</f>
        <v>20956.21</v>
      </c>
    </row>
    <row r="68" spans="1:8" ht="12.75">
      <c r="A68" s="44"/>
      <c r="B68" s="142" t="s">
        <v>338</v>
      </c>
      <c r="C68" s="44"/>
      <c r="D68" s="44"/>
      <c r="E68" s="42"/>
      <c r="F68" s="276"/>
      <c r="G68" s="276"/>
      <c r="H68" s="276">
        <f>E68-G68</f>
        <v>0</v>
      </c>
    </row>
    <row r="69" spans="1:8" ht="12.75">
      <c r="A69" s="142" t="s">
        <v>155</v>
      </c>
      <c r="B69" s="143" t="s">
        <v>156</v>
      </c>
      <c r="C69" s="44"/>
      <c r="D69" s="44"/>
      <c r="E69" s="129">
        <f>123936.5-18606.22+115769.94</f>
        <v>221100.22</v>
      </c>
      <c r="F69" s="218">
        <f>33707.42+21005.39+7204.91</f>
        <v>61917.72</v>
      </c>
      <c r="G69" s="218">
        <f>33707.42+21005.39+7204.91</f>
        <v>61917.72</v>
      </c>
      <c r="H69" s="276">
        <f>E69-G69</f>
        <v>159182.5</v>
      </c>
    </row>
    <row r="70" spans="1:8" ht="12.75">
      <c r="A70" s="142" t="s">
        <v>155</v>
      </c>
      <c r="B70" s="143" t="s">
        <v>157</v>
      </c>
      <c r="C70" s="44"/>
      <c r="D70" s="44"/>
      <c r="E70" s="129">
        <f>18606.22+36107.12</f>
        <v>54713.340000000004</v>
      </c>
      <c r="F70" s="218">
        <f>18606.22+11720.88+12753.41</f>
        <v>43080.509999999995</v>
      </c>
      <c r="G70" s="218">
        <f>18606.22+11720.88+12753.41</f>
        <v>43080.509999999995</v>
      </c>
      <c r="H70" s="276">
        <f>E70-G70</f>
        <v>11632.830000000009</v>
      </c>
    </row>
    <row r="71" spans="1:8" ht="12.75">
      <c r="A71" s="142" t="s">
        <v>155</v>
      </c>
      <c r="B71" s="145" t="s">
        <v>373</v>
      </c>
      <c r="C71" s="44"/>
      <c r="D71" s="44"/>
      <c r="E71" s="129"/>
      <c r="F71" s="276"/>
      <c r="G71" s="276"/>
      <c r="H71" s="276"/>
    </row>
    <row r="72" spans="1:8" ht="12.75">
      <c r="A72" s="142" t="s">
        <v>155</v>
      </c>
      <c r="B72" s="143" t="s">
        <v>388</v>
      </c>
      <c r="C72" s="44"/>
      <c r="D72" s="44"/>
      <c r="E72" s="129">
        <v>75.88</v>
      </c>
      <c r="F72" s="276"/>
      <c r="G72" s="276"/>
      <c r="H72" s="276"/>
    </row>
    <row r="73" spans="1:8" ht="12.75">
      <c r="A73" s="193"/>
      <c r="B73" s="194" t="s">
        <v>8</v>
      </c>
      <c r="C73" s="191" t="s">
        <v>9</v>
      </c>
      <c r="D73" s="191" t="s">
        <v>9</v>
      </c>
      <c r="E73" s="189">
        <f>SUM(E67:E72)</f>
        <v>296845.65</v>
      </c>
      <c r="F73" s="218"/>
      <c r="G73" s="218"/>
      <c r="H73" s="218"/>
    </row>
    <row r="74" spans="1:9" s="52" customFormat="1" ht="36" customHeight="1">
      <c r="A74" s="517" t="s">
        <v>348</v>
      </c>
      <c r="B74" s="517"/>
      <c r="C74" s="517"/>
      <c r="D74" s="517"/>
      <c r="E74" s="517"/>
      <c r="F74" s="240"/>
      <c r="G74" s="240"/>
      <c r="H74" s="240"/>
      <c r="I74" s="241"/>
    </row>
    <row r="75" spans="6:9" s="53" customFormat="1" ht="9.75">
      <c r="F75" s="242"/>
      <c r="G75" s="242"/>
      <c r="H75" s="242"/>
      <c r="I75" s="243"/>
    </row>
    <row r="76" spans="1:9" s="52" customFormat="1" ht="15.75">
      <c r="A76" s="514" t="s">
        <v>0</v>
      </c>
      <c r="B76" s="514"/>
      <c r="C76" s="516" t="s">
        <v>367</v>
      </c>
      <c r="D76" s="516"/>
      <c r="E76" s="516"/>
      <c r="F76" s="240"/>
      <c r="G76" s="240"/>
      <c r="H76" s="240"/>
      <c r="I76" s="241"/>
    </row>
    <row r="77" spans="6:9" s="53" customFormat="1" ht="9.75">
      <c r="F77" s="242"/>
      <c r="G77" s="242"/>
      <c r="H77" s="242"/>
      <c r="I77" s="243"/>
    </row>
    <row r="78" spans="1:9" s="52" customFormat="1" ht="30" customHeight="1">
      <c r="A78" s="514" t="s">
        <v>1</v>
      </c>
      <c r="B78" s="514"/>
      <c r="C78" s="515" t="s">
        <v>40</v>
      </c>
      <c r="D78" s="515"/>
      <c r="E78" s="515"/>
      <c r="F78" s="240"/>
      <c r="G78" s="240"/>
      <c r="H78" s="240"/>
      <c r="I78" s="241"/>
    </row>
    <row r="80" spans="1:9" s="52" customFormat="1" ht="15.75">
      <c r="A80" s="514" t="s">
        <v>231</v>
      </c>
      <c r="B80" s="514"/>
      <c r="C80" s="514"/>
      <c r="D80" s="514"/>
      <c r="E80" s="514"/>
      <c r="F80" s="240"/>
      <c r="G80" s="240"/>
      <c r="H80" s="240"/>
      <c r="I80" s="241"/>
    </row>
    <row r="81" spans="6:9" s="53" customFormat="1" ht="9.75">
      <c r="F81" s="242"/>
      <c r="G81" s="242"/>
      <c r="H81" s="242"/>
      <c r="I81" s="243"/>
    </row>
    <row r="82" spans="1:8" ht="27.75" customHeight="1">
      <c r="A82" s="149" t="s">
        <v>211</v>
      </c>
      <c r="B82" s="522" t="s">
        <v>11</v>
      </c>
      <c r="C82" s="523"/>
      <c r="D82" s="133" t="s">
        <v>232</v>
      </c>
      <c r="E82" s="148" t="s">
        <v>233</v>
      </c>
      <c r="F82" s="213" t="s">
        <v>48</v>
      </c>
      <c r="G82" s="213" t="s">
        <v>49</v>
      </c>
      <c r="H82" s="213" t="s">
        <v>210</v>
      </c>
    </row>
    <row r="83" spans="1:8" ht="12.75">
      <c r="A83" s="93">
        <v>1</v>
      </c>
      <c r="B83" s="508">
        <v>2</v>
      </c>
      <c r="C83" s="524"/>
      <c r="D83" s="44">
        <v>3</v>
      </c>
      <c r="E83" s="93">
        <v>4</v>
      </c>
      <c r="F83" s="218"/>
      <c r="G83" s="218"/>
      <c r="H83" s="218"/>
    </row>
    <row r="84" spans="1:9" s="56" customFormat="1" ht="12.75">
      <c r="A84" s="136"/>
      <c r="B84" s="525" t="s">
        <v>395</v>
      </c>
      <c r="C84" s="526"/>
      <c r="D84" s="46"/>
      <c r="E84" s="393">
        <v>168000</v>
      </c>
      <c r="F84" s="218">
        <v>160000</v>
      </c>
      <c r="G84" s="218">
        <v>160000</v>
      </c>
      <c r="H84" s="275">
        <f>E84-G84</f>
        <v>8000</v>
      </c>
      <c r="I84" s="216"/>
    </row>
    <row r="85" spans="1:8" ht="17.25" customHeight="1">
      <c r="A85" s="178"/>
      <c r="B85" s="527" t="s">
        <v>8</v>
      </c>
      <c r="C85" s="528"/>
      <c r="D85" s="191" t="s">
        <v>9</v>
      </c>
      <c r="E85" s="197">
        <f>SUM(E84:E84)</f>
        <v>168000</v>
      </c>
      <c r="F85" s="218"/>
      <c r="G85" s="218"/>
      <c r="H85" s="218"/>
    </row>
    <row r="86" spans="1:9" s="52" customFormat="1" ht="36" customHeight="1">
      <c r="A86" s="517" t="s">
        <v>368</v>
      </c>
      <c r="B86" s="517"/>
      <c r="C86" s="517"/>
      <c r="D86" s="517"/>
      <c r="E86" s="517"/>
      <c r="F86" s="240"/>
      <c r="G86" s="240"/>
      <c r="H86" s="240"/>
      <c r="I86" s="241"/>
    </row>
    <row r="87" spans="6:9" s="53" customFormat="1" ht="9.75">
      <c r="F87" s="242"/>
      <c r="G87" s="242"/>
      <c r="H87" s="242"/>
      <c r="I87" s="243"/>
    </row>
    <row r="88" spans="1:9" s="52" customFormat="1" ht="15.75">
      <c r="A88" s="514" t="s">
        <v>0</v>
      </c>
      <c r="B88" s="514"/>
      <c r="C88" s="516" t="s">
        <v>412</v>
      </c>
      <c r="D88" s="516"/>
      <c r="E88" s="516"/>
      <c r="F88" s="240"/>
      <c r="G88" s="240"/>
      <c r="H88" s="240"/>
      <c r="I88" s="241"/>
    </row>
    <row r="89" spans="6:9" s="53" customFormat="1" ht="9.75">
      <c r="F89" s="242"/>
      <c r="G89" s="242"/>
      <c r="H89" s="242"/>
      <c r="I89" s="243"/>
    </row>
    <row r="90" spans="1:9" s="52" customFormat="1" ht="30" customHeight="1">
      <c r="A90" s="514" t="s">
        <v>413</v>
      </c>
      <c r="B90" s="514"/>
      <c r="C90" s="514"/>
      <c r="D90" s="514"/>
      <c r="E90" s="514"/>
      <c r="F90" s="240"/>
      <c r="G90" s="240"/>
      <c r="H90" s="240"/>
      <c r="I90" s="241"/>
    </row>
    <row r="91" spans="6:9" s="53" customFormat="1" ht="9.75">
      <c r="F91" s="242"/>
      <c r="G91" s="242"/>
      <c r="H91" s="242"/>
      <c r="I91" s="243"/>
    </row>
    <row r="92" spans="1:8" ht="27.75" customHeight="1">
      <c r="A92" s="149" t="s">
        <v>211</v>
      </c>
      <c r="B92" s="522" t="s">
        <v>11</v>
      </c>
      <c r="C92" s="523"/>
      <c r="D92" s="133" t="s">
        <v>232</v>
      </c>
      <c r="E92" s="148" t="s">
        <v>233</v>
      </c>
      <c r="F92" s="213" t="s">
        <v>48</v>
      </c>
      <c r="G92" s="213" t="s">
        <v>49</v>
      </c>
      <c r="H92" s="213" t="s">
        <v>210</v>
      </c>
    </row>
    <row r="93" spans="1:8" ht="12.75">
      <c r="A93" s="93">
        <v>1</v>
      </c>
      <c r="B93" s="508">
        <v>2</v>
      </c>
      <c r="C93" s="524"/>
      <c r="D93" s="44">
        <v>3</v>
      </c>
      <c r="E93" s="93">
        <v>4</v>
      </c>
      <c r="F93" s="276"/>
      <c r="G93" s="276"/>
      <c r="H93" s="276"/>
    </row>
    <row r="94" spans="1:9" s="56" customFormat="1" ht="12.75">
      <c r="A94" s="136"/>
      <c r="B94" s="530" t="s">
        <v>414</v>
      </c>
      <c r="C94" s="531"/>
      <c r="D94" s="46"/>
      <c r="E94" s="419">
        <v>3570121.04</v>
      </c>
      <c r="F94" s="276"/>
      <c r="G94" s="276"/>
      <c r="H94" s="276">
        <f>E94-G94</f>
        <v>3570121.04</v>
      </c>
      <c r="I94" s="216"/>
    </row>
    <row r="95" spans="1:9" s="56" customFormat="1" ht="12.75">
      <c r="A95" s="136"/>
      <c r="B95" s="530" t="s">
        <v>415</v>
      </c>
      <c r="C95" s="531"/>
      <c r="D95" s="46"/>
      <c r="E95" s="419">
        <v>183185.46</v>
      </c>
      <c r="F95" s="276"/>
      <c r="G95" s="276"/>
      <c r="H95" s="276">
        <f>E95-G95</f>
        <v>183185.46</v>
      </c>
      <c r="I95" s="216"/>
    </row>
    <row r="96" spans="1:8" ht="17.25" customHeight="1">
      <c r="A96" s="178"/>
      <c r="B96" s="527" t="s">
        <v>8</v>
      </c>
      <c r="C96" s="528"/>
      <c r="D96" s="191" t="s">
        <v>9</v>
      </c>
      <c r="E96" s="197">
        <f>SUM(E94:E95)</f>
        <v>3753306.5</v>
      </c>
      <c r="F96" s="276"/>
      <c r="G96" s="276"/>
      <c r="H96" s="276"/>
    </row>
    <row r="97" spans="6:9" s="55" customFormat="1" ht="15.75">
      <c r="F97" s="244"/>
      <c r="G97" s="244"/>
      <c r="H97" s="244"/>
      <c r="I97" s="245"/>
    </row>
    <row r="98" spans="1:9" s="52" customFormat="1" ht="15.75">
      <c r="A98" s="514" t="s">
        <v>346</v>
      </c>
      <c r="B98" s="514"/>
      <c r="C98" s="514"/>
      <c r="D98" s="514"/>
      <c r="E98" s="514"/>
      <c r="F98" s="240"/>
      <c r="G98" s="240"/>
      <c r="H98" s="240"/>
      <c r="I98" s="241"/>
    </row>
    <row r="99" spans="6:9" s="53" customFormat="1" ht="9.75">
      <c r="F99" s="242"/>
      <c r="G99" s="242"/>
      <c r="H99" s="242"/>
      <c r="I99" s="243"/>
    </row>
    <row r="100" spans="1:9" s="52" customFormat="1" ht="15.75">
      <c r="A100" s="514" t="s">
        <v>0</v>
      </c>
      <c r="B100" s="514"/>
      <c r="C100" s="516" t="s">
        <v>356</v>
      </c>
      <c r="D100" s="516"/>
      <c r="E100" s="516"/>
      <c r="F100" s="240"/>
      <c r="G100" s="240"/>
      <c r="H100" s="240"/>
      <c r="I100" s="241"/>
    </row>
    <row r="101" spans="6:9" s="53" customFormat="1" ht="9.75">
      <c r="F101" s="242"/>
      <c r="G101" s="242"/>
      <c r="H101" s="242"/>
      <c r="I101" s="243"/>
    </row>
    <row r="102" spans="1:9" s="52" customFormat="1" ht="48.75" customHeight="1">
      <c r="A102" s="514" t="s">
        <v>1</v>
      </c>
      <c r="B102" s="514"/>
      <c r="C102" s="515" t="s">
        <v>40</v>
      </c>
      <c r="D102" s="515"/>
      <c r="E102" s="515"/>
      <c r="F102" s="240"/>
      <c r="G102" s="240"/>
      <c r="H102" s="240"/>
      <c r="I102" s="241"/>
    </row>
    <row r="103" spans="1:9" s="52" customFormat="1" ht="18.75" customHeight="1">
      <c r="A103" s="514" t="s">
        <v>357</v>
      </c>
      <c r="B103" s="514"/>
      <c r="C103" s="514"/>
      <c r="D103" s="514"/>
      <c r="E103" s="514"/>
      <c r="F103" s="240"/>
      <c r="G103" s="240"/>
      <c r="H103" s="240"/>
      <c r="I103" s="241"/>
    </row>
    <row r="104" spans="6:9" s="146" customFormat="1" ht="7.5" customHeight="1">
      <c r="F104" s="248"/>
      <c r="G104" s="248"/>
      <c r="H104" s="248"/>
      <c r="I104" s="249"/>
    </row>
    <row r="105" spans="1:9" s="146" customFormat="1" ht="31.5" customHeight="1">
      <c r="A105" s="45" t="s">
        <v>211</v>
      </c>
      <c r="B105" s="45" t="s">
        <v>11</v>
      </c>
      <c r="C105" s="133" t="s">
        <v>12</v>
      </c>
      <c r="D105" s="133" t="s">
        <v>234</v>
      </c>
      <c r="E105" s="45" t="s">
        <v>235</v>
      </c>
      <c r="F105" s="213" t="s">
        <v>48</v>
      </c>
      <c r="G105" s="213" t="s">
        <v>49</v>
      </c>
      <c r="H105" s="213" t="s">
        <v>210</v>
      </c>
      <c r="I105" s="249"/>
    </row>
    <row r="106" spans="1:8" ht="12.75">
      <c r="A106" s="44">
        <v>1</v>
      </c>
      <c r="B106" s="44">
        <v>2</v>
      </c>
      <c r="C106" s="44">
        <v>3</v>
      </c>
      <c r="D106" s="44">
        <v>4</v>
      </c>
      <c r="E106" s="44">
        <v>5</v>
      </c>
      <c r="F106" s="218"/>
      <c r="G106" s="218"/>
      <c r="H106" s="218"/>
    </row>
    <row r="107" spans="1:9" ht="12.75">
      <c r="A107" s="103"/>
      <c r="B107" s="399" t="s">
        <v>334</v>
      </c>
      <c r="C107" s="44"/>
      <c r="D107" s="44"/>
      <c r="E107" s="400">
        <v>4552971.44</v>
      </c>
      <c r="F107" s="276">
        <f>367418.35+280819.13+383869.92+2577755.06-128927.74+125214.71</f>
        <v>3606149.4299999997</v>
      </c>
      <c r="G107" s="276">
        <f>367418.35+280819.13+383869.92+368846.44+125214.71+295157.12</f>
        <v>1821325.67</v>
      </c>
      <c r="H107" s="276">
        <f>E107-G107</f>
        <v>2731645.7700000005</v>
      </c>
      <c r="I107" s="410">
        <f>F107-G107</f>
        <v>1784823.7599999998</v>
      </c>
    </row>
    <row r="108" spans="1:9" ht="25.5">
      <c r="A108" s="103"/>
      <c r="B108" s="399" t="s">
        <v>396</v>
      </c>
      <c r="C108" s="44"/>
      <c r="D108" s="44"/>
      <c r="E108" s="400">
        <f>234837.47+4792.61</f>
        <v>239630.08</v>
      </c>
      <c r="F108" s="218">
        <f>18951.05+14484.35+19799.61+132957.89-6649.96+6590.25+386.76+295.6+404.07+2713.43-135.71</f>
        <v>189797.34000000005</v>
      </c>
      <c r="G108" s="218">
        <f>18951.05+14484.35+19799.61+19412.97+6590.25+386.76+295.6+404.07+15534.59</f>
        <v>95859.25000000001</v>
      </c>
      <c r="H108" s="218">
        <f>E108-F108</f>
        <v>49832.73999999993</v>
      </c>
      <c r="I108" s="410">
        <f>F108-G108</f>
        <v>93938.09000000004</v>
      </c>
    </row>
    <row r="109" spans="1:11" ht="12.75">
      <c r="A109" s="438"/>
      <c r="B109" s="399" t="s">
        <v>390</v>
      </c>
      <c r="C109" s="44"/>
      <c r="D109" s="44"/>
      <c r="E109" s="400">
        <f>4792.61-4792.61</f>
        <v>0</v>
      </c>
      <c r="F109" s="218">
        <f>386.76+295.6+404.07+2713.43-135.71</f>
        <v>3664.1499999999996</v>
      </c>
      <c r="G109" s="218">
        <f>386.76+295.6+404.07</f>
        <v>1086.43</v>
      </c>
      <c r="H109" s="218"/>
      <c r="K109" s="43"/>
    </row>
    <row r="110" spans="1:11" ht="25.5">
      <c r="A110" s="438"/>
      <c r="B110" s="425" t="s">
        <v>421</v>
      </c>
      <c r="C110" s="44"/>
      <c r="D110" s="44"/>
      <c r="E110" s="42">
        <f>181568.1-5279.6</f>
        <v>176288.5</v>
      </c>
      <c r="F110" s="276">
        <v>176288.5</v>
      </c>
      <c r="G110" s="276">
        <v>176288.5</v>
      </c>
      <c r="H110" s="276">
        <f>E110-F110</f>
        <v>0</v>
      </c>
      <c r="K110" s="43"/>
    </row>
    <row r="111" spans="1:11" ht="20.25" customHeight="1">
      <c r="A111" s="193"/>
      <c r="B111" s="194" t="s">
        <v>8</v>
      </c>
      <c r="C111" s="191" t="s">
        <v>9</v>
      </c>
      <c r="D111" s="191" t="s">
        <v>9</v>
      </c>
      <c r="E111" s="189">
        <f>SUM(E107:E110)</f>
        <v>4968890.0200000005</v>
      </c>
      <c r="F111" s="218" t="s">
        <v>417</v>
      </c>
      <c r="G111" s="218"/>
      <c r="H111" s="218"/>
      <c r="K111" s="43"/>
    </row>
    <row r="112" spans="1:9" s="52" customFormat="1" ht="15.75">
      <c r="A112" s="514" t="s">
        <v>349</v>
      </c>
      <c r="B112" s="514"/>
      <c r="C112" s="514"/>
      <c r="D112" s="514"/>
      <c r="E112" s="514"/>
      <c r="F112" s="240"/>
      <c r="G112" s="240"/>
      <c r="H112" s="240"/>
      <c r="I112" s="241"/>
    </row>
    <row r="113" spans="6:9" s="53" customFormat="1" ht="9.75">
      <c r="F113" s="242"/>
      <c r="G113" s="242"/>
      <c r="H113" s="242"/>
      <c r="I113" s="243"/>
    </row>
    <row r="114" spans="1:9" s="52" customFormat="1" ht="15.75">
      <c r="A114" s="514" t="s">
        <v>0</v>
      </c>
      <c r="B114" s="514"/>
      <c r="C114" s="516" t="s">
        <v>335</v>
      </c>
      <c r="D114" s="516"/>
      <c r="E114" s="516"/>
      <c r="F114" s="240"/>
      <c r="G114" s="240"/>
      <c r="H114" s="240"/>
      <c r="I114" s="241"/>
    </row>
    <row r="115" spans="6:9" s="53" customFormat="1" ht="9.75">
      <c r="F115" s="242"/>
      <c r="G115" s="242"/>
      <c r="H115" s="242"/>
      <c r="I115" s="243"/>
    </row>
    <row r="116" spans="1:9" s="52" customFormat="1" ht="12.75" customHeight="1">
      <c r="A116" s="514" t="s">
        <v>1</v>
      </c>
      <c r="B116" s="514"/>
      <c r="C116" s="515"/>
      <c r="D116" s="515"/>
      <c r="E116" s="515"/>
      <c r="F116" s="240"/>
      <c r="G116" s="240"/>
      <c r="H116" s="240"/>
      <c r="I116" s="241"/>
    </row>
    <row r="117" spans="6:9" s="146" customFormat="1" ht="7.5" customHeight="1">
      <c r="F117" s="248"/>
      <c r="G117" s="248"/>
      <c r="H117" s="248"/>
      <c r="I117" s="249"/>
    </row>
    <row r="118" spans="1:9" s="146" customFormat="1" ht="31.5" customHeight="1">
      <c r="A118" s="45" t="s">
        <v>211</v>
      </c>
      <c r="B118" s="45" t="s">
        <v>11</v>
      </c>
      <c r="C118" s="133" t="s">
        <v>12</v>
      </c>
      <c r="D118" s="133" t="s">
        <v>234</v>
      </c>
      <c r="E118" s="45" t="s">
        <v>235</v>
      </c>
      <c r="F118" s="213" t="s">
        <v>48</v>
      </c>
      <c r="G118" s="213" t="s">
        <v>49</v>
      </c>
      <c r="H118" s="213" t="s">
        <v>210</v>
      </c>
      <c r="I118" s="249"/>
    </row>
    <row r="119" spans="1:8" ht="12.75">
      <c r="A119" s="44">
        <v>1</v>
      </c>
      <c r="B119" s="44">
        <v>2</v>
      </c>
      <c r="C119" s="44">
        <v>3</v>
      </c>
      <c r="D119" s="44">
        <v>4</v>
      </c>
      <c r="E119" s="44">
        <v>5</v>
      </c>
      <c r="F119" s="276"/>
      <c r="G119" s="276"/>
      <c r="H119" s="276"/>
    </row>
    <row r="120" spans="1:10" ht="25.5">
      <c r="A120" s="103"/>
      <c r="B120" s="355" t="s">
        <v>336</v>
      </c>
      <c r="C120" s="356"/>
      <c r="D120" s="356"/>
      <c r="E120" s="357">
        <v>2330000</v>
      </c>
      <c r="F120" s="276"/>
      <c r="G120" s="276"/>
      <c r="H120" s="276">
        <f>E120-G120</f>
        <v>2330000</v>
      </c>
      <c r="I120" s="239" t="s">
        <v>319</v>
      </c>
      <c r="J120" s="43"/>
    </row>
    <row r="121" spans="1:12" ht="25.5">
      <c r="A121" s="439"/>
      <c r="B121" s="399" t="s">
        <v>337</v>
      </c>
      <c r="C121" s="44"/>
      <c r="D121" s="44"/>
      <c r="E121" s="400">
        <v>703660</v>
      </c>
      <c r="F121" s="276"/>
      <c r="G121" s="276"/>
      <c r="H121" s="276"/>
      <c r="K121" s="43"/>
      <c r="L121" s="54" t="s">
        <v>255</v>
      </c>
    </row>
    <row r="122" spans="1:10" ht="51">
      <c r="A122" s="103"/>
      <c r="B122" s="355" t="s">
        <v>432</v>
      </c>
      <c r="C122" s="356"/>
      <c r="D122" s="356"/>
      <c r="E122" s="357">
        <v>950000</v>
      </c>
      <c r="F122" s="276"/>
      <c r="G122" s="276"/>
      <c r="H122" s="276">
        <f>E122-G122</f>
        <v>950000</v>
      </c>
      <c r="I122" s="239" t="s">
        <v>319</v>
      </c>
      <c r="J122" s="43"/>
    </row>
    <row r="123" spans="1:12" ht="51">
      <c r="A123" s="438"/>
      <c r="B123" s="399" t="s">
        <v>433</v>
      </c>
      <c r="C123" s="44"/>
      <c r="D123" s="44"/>
      <c r="E123" s="400">
        <v>50000</v>
      </c>
      <c r="F123" s="276"/>
      <c r="G123" s="276"/>
      <c r="H123" s="276"/>
      <c r="K123" s="43"/>
      <c r="L123" s="54" t="s">
        <v>255</v>
      </c>
    </row>
    <row r="124" spans="1:12" ht="20.25" customHeight="1">
      <c r="A124" s="193"/>
      <c r="B124" s="398" t="s">
        <v>8</v>
      </c>
      <c r="C124" s="191" t="s">
        <v>9</v>
      </c>
      <c r="D124" s="191" t="s">
        <v>9</v>
      </c>
      <c r="E124" s="189">
        <f>SUM(E120:E123)</f>
        <v>4033660</v>
      </c>
      <c r="F124" s="276"/>
      <c r="G124" s="276"/>
      <c r="H124" s="276"/>
      <c r="K124" s="43">
        <v>-20714.75</v>
      </c>
      <c r="L124" s="54" t="s">
        <v>252</v>
      </c>
    </row>
    <row r="125" spans="11:12" ht="12.75">
      <c r="K125" s="43">
        <v>1090.25</v>
      </c>
      <c r="L125" s="54" t="s">
        <v>253</v>
      </c>
    </row>
  </sheetData>
  <sheetProtection/>
  <mergeCells count="57">
    <mergeCell ref="B94:C94"/>
    <mergeCell ref="B96:C96"/>
    <mergeCell ref="B95:C95"/>
    <mergeCell ref="C88:E88"/>
    <mergeCell ref="B92:C92"/>
    <mergeCell ref="B93:C93"/>
    <mergeCell ref="A90:E90"/>
    <mergeCell ref="A116:B116"/>
    <mergeCell ref="C116:E116"/>
    <mergeCell ref="B84:C84"/>
    <mergeCell ref="B85:C85"/>
    <mergeCell ref="C41:E41"/>
    <mergeCell ref="A43:B43"/>
    <mergeCell ref="C43:E43"/>
    <mergeCell ref="A51:E51"/>
    <mergeCell ref="A41:B41"/>
    <mergeCell ref="A76:B76"/>
    <mergeCell ref="B27:E27"/>
    <mergeCell ref="A53:B53"/>
    <mergeCell ref="C53:E53"/>
    <mergeCell ref="A112:E112"/>
    <mergeCell ref="A114:B114"/>
    <mergeCell ref="C114:E114"/>
    <mergeCell ref="A80:E80"/>
    <mergeCell ref="B82:C82"/>
    <mergeCell ref="B83:C83"/>
    <mergeCell ref="A74:E74"/>
    <mergeCell ref="C55:E55"/>
    <mergeCell ref="A1:E1"/>
    <mergeCell ref="C3:E3"/>
    <mergeCell ref="C5:E5"/>
    <mergeCell ref="A15:E15"/>
    <mergeCell ref="A17:B17"/>
    <mergeCell ref="A39:E39"/>
    <mergeCell ref="C17:E17"/>
    <mergeCell ref="A19:B19"/>
    <mergeCell ref="C19:E19"/>
    <mergeCell ref="C76:E76"/>
    <mergeCell ref="A61:B61"/>
    <mergeCell ref="C61:E61"/>
    <mergeCell ref="A63:B63"/>
    <mergeCell ref="C63:E63"/>
    <mergeCell ref="A29:B29"/>
    <mergeCell ref="C29:E29"/>
    <mergeCell ref="A31:B31"/>
    <mergeCell ref="C31:E31"/>
    <mergeCell ref="A55:B55"/>
    <mergeCell ref="A78:B78"/>
    <mergeCell ref="C78:E78"/>
    <mergeCell ref="A103:E103"/>
    <mergeCell ref="A98:E98"/>
    <mergeCell ref="A100:B100"/>
    <mergeCell ref="C100:E100"/>
    <mergeCell ref="A102:B102"/>
    <mergeCell ref="C102:E102"/>
    <mergeCell ref="A86:E86"/>
    <mergeCell ref="A88:B88"/>
  </mergeCells>
  <printOptions/>
  <pageMargins left="1.5748031496062993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rowBreaks count="1" manualBreakCount="1">
    <brk id="73" max="4" man="1"/>
  </rowBreaks>
  <colBreaks count="1" manualBreakCount="1">
    <brk id="5" max="1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95"/>
  <sheetViews>
    <sheetView view="pageBreakPreview" zoomScaleSheetLayoutView="100" zoomScalePageLayoutView="0" workbookViewId="0" topLeftCell="A7">
      <selection activeCell="E13" sqref="E13"/>
    </sheetView>
  </sheetViews>
  <sheetFormatPr defaultColWidth="1.12109375" defaultRowHeight="12.75"/>
  <cols>
    <col min="1" max="1" width="3.625" style="49" customWidth="1"/>
    <col min="2" max="2" width="40.25390625" style="49" customWidth="1"/>
    <col min="3" max="3" width="13.125" style="54" customWidth="1"/>
    <col min="4" max="4" width="10.25390625" style="54" customWidth="1"/>
    <col min="5" max="5" width="36.625" style="49" customWidth="1"/>
    <col min="6" max="6" width="13.25390625" style="224" customWidth="1"/>
    <col min="7" max="7" width="11.875" style="225" customWidth="1"/>
    <col min="8" max="8" width="17.25390625" style="209" bestFit="1" customWidth="1"/>
    <col min="9" max="9" width="17.25390625" style="225" bestFit="1" customWidth="1"/>
    <col min="10" max="10" width="19.625" style="256" customWidth="1"/>
    <col min="11" max="78" width="19.625" style="49" customWidth="1"/>
    <col min="79" max="16384" width="1.12109375" style="49" customWidth="1"/>
  </cols>
  <sheetData>
    <row r="1" spans="1:10" s="47" customFormat="1" ht="15.75">
      <c r="A1" s="514" t="s">
        <v>346</v>
      </c>
      <c r="B1" s="514"/>
      <c r="C1" s="514"/>
      <c r="D1" s="514"/>
      <c r="E1" s="514"/>
      <c r="F1" s="201"/>
      <c r="G1" s="202"/>
      <c r="H1" s="201"/>
      <c r="I1" s="202"/>
      <c r="J1" s="250"/>
    </row>
    <row r="2" spans="1:10" s="48" customFormat="1" ht="9.75">
      <c r="A2" s="53"/>
      <c r="B2" s="53"/>
      <c r="C2" s="53"/>
      <c r="D2" s="53"/>
      <c r="E2" s="53"/>
      <c r="F2" s="204"/>
      <c r="G2" s="205"/>
      <c r="H2" s="204"/>
      <c r="I2" s="205"/>
      <c r="J2" s="401"/>
    </row>
    <row r="3" spans="1:10" s="47" customFormat="1" ht="15.75">
      <c r="A3" s="47" t="s">
        <v>0</v>
      </c>
      <c r="B3" s="52"/>
      <c r="C3" s="520" t="s">
        <v>358</v>
      </c>
      <c r="D3" s="520"/>
      <c r="E3" s="520"/>
      <c r="F3" s="207"/>
      <c r="G3" s="208"/>
      <c r="H3" s="207"/>
      <c r="I3" s="208"/>
      <c r="J3" s="250"/>
    </row>
    <row r="4" spans="1:10" s="48" customFormat="1" ht="9.75">
      <c r="A4" s="53"/>
      <c r="B4" s="53"/>
      <c r="C4" s="53"/>
      <c r="D4" s="53"/>
      <c r="E4" s="53"/>
      <c r="F4" s="204"/>
      <c r="G4" s="205"/>
      <c r="H4" s="204"/>
      <c r="I4" s="205"/>
      <c r="J4" s="401"/>
    </row>
    <row r="5" spans="1:10" s="47" customFormat="1" ht="29.25" customHeight="1">
      <c r="A5" s="47" t="s">
        <v>1</v>
      </c>
      <c r="B5" s="52"/>
      <c r="C5" s="540" t="s">
        <v>39</v>
      </c>
      <c r="D5" s="540"/>
      <c r="E5" s="540"/>
      <c r="F5" s="207"/>
      <c r="G5" s="208"/>
      <c r="H5" s="207"/>
      <c r="I5" s="208"/>
      <c r="J5" s="250"/>
    </row>
    <row r="6" spans="2:10" s="47" customFormat="1" ht="15.75">
      <c r="B6" s="52"/>
      <c r="C6" s="57"/>
      <c r="D6" s="57"/>
      <c r="E6" s="57"/>
      <c r="F6" s="207"/>
      <c r="G6" s="208"/>
      <c r="H6" s="207"/>
      <c r="I6" s="208"/>
      <c r="J6" s="250"/>
    </row>
    <row r="7" spans="1:10" s="47" customFormat="1" ht="15.75">
      <c r="A7" s="514" t="s">
        <v>366</v>
      </c>
      <c r="B7" s="514"/>
      <c r="C7" s="514"/>
      <c r="D7" s="514"/>
      <c r="E7" s="514"/>
      <c r="F7" s="207"/>
      <c r="G7" s="208"/>
      <c r="H7" s="207"/>
      <c r="I7" s="208"/>
      <c r="J7" s="250"/>
    </row>
    <row r="8" spans="6:10" ht="5.25" customHeight="1">
      <c r="F8" s="209"/>
      <c r="G8" s="210"/>
      <c r="I8" s="210"/>
      <c r="J8" s="259"/>
    </row>
    <row r="9" spans="1:10" ht="60.75" customHeight="1">
      <c r="A9" s="149" t="s">
        <v>211</v>
      </c>
      <c r="B9" s="148" t="s">
        <v>11</v>
      </c>
      <c r="C9" s="133" t="s">
        <v>236</v>
      </c>
      <c r="D9" s="149" t="s">
        <v>237</v>
      </c>
      <c r="E9" s="148" t="s">
        <v>215</v>
      </c>
      <c r="F9" s="402" t="s">
        <v>48</v>
      </c>
      <c r="G9" s="403" t="s">
        <v>49</v>
      </c>
      <c r="H9" s="404" t="s">
        <v>340</v>
      </c>
      <c r="I9" s="405" t="s">
        <v>341</v>
      </c>
      <c r="J9" s="265" t="s">
        <v>342</v>
      </c>
    </row>
    <row r="10" spans="1:10" s="54" customFormat="1" ht="12.7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214"/>
      <c r="G10" s="215"/>
      <c r="H10" s="214"/>
      <c r="I10" s="215"/>
      <c r="J10" s="256"/>
    </row>
    <row r="11" spans="1:11" ht="21.75" customHeight="1">
      <c r="A11" s="90">
        <v>1</v>
      </c>
      <c r="B11" s="336" t="s">
        <v>281</v>
      </c>
      <c r="C11" s="90"/>
      <c r="D11" s="150"/>
      <c r="E11" s="151">
        <v>1550000</v>
      </c>
      <c r="F11" s="217">
        <v>1550000</v>
      </c>
      <c r="G11" s="276">
        <f>135070.03+379924.81+177682.41+172339.22</f>
        <v>865016.47</v>
      </c>
      <c r="H11" s="217">
        <f aca="true" t="shared" si="0" ref="H11:I13">E11-F11</f>
        <v>0</v>
      </c>
      <c r="I11" s="276">
        <f t="shared" si="0"/>
        <v>684983.53</v>
      </c>
      <c r="J11" s="267">
        <f>E11-G11</f>
        <v>684983.53</v>
      </c>
      <c r="K11" s="380"/>
    </row>
    <row r="12" spans="1:11" s="51" customFormat="1" ht="16.5" customHeight="1">
      <c r="A12" s="136">
        <v>2</v>
      </c>
      <c r="B12" s="376" t="s">
        <v>282</v>
      </c>
      <c r="C12" s="46"/>
      <c r="D12" s="377"/>
      <c r="E12" s="378">
        <f>650000-13400</f>
        <v>636600</v>
      </c>
      <c r="F12" s="379">
        <f>300000+250419.14-33707.42-21005.39-7204.91</f>
        <v>488501.42000000004</v>
      </c>
      <c r="G12" s="379">
        <f>98251.69+83516.92+57129.4+74330.1+55429.27-33707.42</f>
        <v>334949.96</v>
      </c>
      <c r="H12" s="217">
        <f>E12-F12</f>
        <v>148098.57999999996</v>
      </c>
      <c r="I12" s="276">
        <f>F12-G12</f>
        <v>153551.46000000002</v>
      </c>
      <c r="J12" s="267">
        <f>E12-G12</f>
        <v>301650.04</v>
      </c>
      <c r="K12" s="380"/>
    </row>
    <row r="13" spans="1:11" ht="18" customHeight="1">
      <c r="A13" s="90"/>
      <c r="B13" s="200"/>
      <c r="C13" s="44"/>
      <c r="D13" s="127"/>
      <c r="E13" s="151"/>
      <c r="F13" s="217"/>
      <c r="G13" s="276"/>
      <c r="H13" s="217">
        <f t="shared" si="0"/>
        <v>0</v>
      </c>
      <c r="I13" s="276">
        <f t="shared" si="0"/>
        <v>0</v>
      </c>
      <c r="J13" s="267">
        <f>E13-G13</f>
        <v>0</v>
      </c>
      <c r="K13" s="380"/>
    </row>
    <row r="14" spans="1:11" ht="12.75">
      <c r="A14" s="180"/>
      <c r="B14" s="418" t="s">
        <v>8</v>
      </c>
      <c r="C14" s="191" t="s">
        <v>9</v>
      </c>
      <c r="D14" s="192" t="s">
        <v>9</v>
      </c>
      <c r="E14" s="189">
        <f>SUM(E11:E13)</f>
        <v>2186600</v>
      </c>
      <c r="F14" s="217"/>
      <c r="G14" s="214"/>
      <c r="H14" s="217"/>
      <c r="I14" s="276"/>
      <c r="J14" s="267"/>
      <c r="K14" s="380"/>
    </row>
    <row r="15" spans="1:10" s="47" customFormat="1" ht="15.75">
      <c r="A15" s="514"/>
      <c r="B15" s="514"/>
      <c r="C15" s="514"/>
      <c r="D15" s="514"/>
      <c r="E15" s="514"/>
      <c r="F15" s="201"/>
      <c r="G15" s="202"/>
      <c r="H15" s="201"/>
      <c r="I15" s="202"/>
      <c r="J15" s="250"/>
    </row>
    <row r="16" spans="1:10" s="48" customFormat="1" ht="9.75">
      <c r="A16" s="53"/>
      <c r="B16" s="53"/>
      <c r="C16" s="53"/>
      <c r="D16" s="53"/>
      <c r="E16" s="53"/>
      <c r="F16" s="204"/>
      <c r="G16" s="205"/>
      <c r="H16" s="204"/>
      <c r="I16" s="205"/>
      <c r="J16" s="401"/>
    </row>
    <row r="17" spans="1:10" s="47" customFormat="1" ht="15.75">
      <c r="A17" s="47" t="s">
        <v>0</v>
      </c>
      <c r="B17" s="52"/>
      <c r="C17" s="520" t="s">
        <v>41</v>
      </c>
      <c r="D17" s="520"/>
      <c r="E17" s="520"/>
      <c r="F17" s="207"/>
      <c r="G17" s="208"/>
      <c r="H17" s="207"/>
      <c r="I17" s="208"/>
      <c r="J17" s="250"/>
    </row>
    <row r="18" spans="1:10" s="48" customFormat="1" ht="9.75">
      <c r="A18" s="53"/>
      <c r="B18" s="53"/>
      <c r="C18" s="53"/>
      <c r="D18" s="53"/>
      <c r="E18" s="53"/>
      <c r="F18" s="204"/>
      <c r="G18" s="205"/>
      <c r="H18" s="204"/>
      <c r="I18" s="205"/>
      <c r="J18" s="401"/>
    </row>
    <row r="19" spans="1:10" s="47" customFormat="1" ht="29.25" customHeight="1">
      <c r="A19" s="47" t="s">
        <v>1</v>
      </c>
      <c r="B19" s="52"/>
      <c r="C19" s="540" t="s">
        <v>39</v>
      </c>
      <c r="D19" s="540"/>
      <c r="E19" s="540"/>
      <c r="F19" s="207"/>
      <c r="G19" s="208"/>
      <c r="H19" s="207"/>
      <c r="I19" s="208"/>
      <c r="J19" s="250"/>
    </row>
    <row r="20" spans="2:10" s="47" customFormat="1" ht="15.75">
      <c r="B20" s="52"/>
      <c r="C20" s="57"/>
      <c r="D20" s="57"/>
      <c r="E20" s="57"/>
      <c r="F20" s="207"/>
      <c r="G20" s="208"/>
      <c r="H20" s="207"/>
      <c r="I20" s="208"/>
      <c r="J20" s="250"/>
    </row>
    <row r="21" spans="1:10" s="47" customFormat="1" ht="15.75">
      <c r="A21" s="514" t="s">
        <v>359</v>
      </c>
      <c r="B21" s="514"/>
      <c r="C21" s="514"/>
      <c r="D21" s="514"/>
      <c r="E21" s="514"/>
      <c r="F21" s="207"/>
      <c r="G21" s="208"/>
      <c r="H21" s="207"/>
      <c r="I21" s="208"/>
      <c r="J21" s="250"/>
    </row>
    <row r="22" spans="6:10" ht="5.25" customHeight="1">
      <c r="F22" s="209"/>
      <c r="G22" s="210"/>
      <c r="I22" s="210"/>
      <c r="J22" s="259"/>
    </row>
    <row r="23" spans="1:10" ht="60.75" customHeight="1">
      <c r="A23" s="149" t="s">
        <v>211</v>
      </c>
      <c r="B23" s="148" t="s">
        <v>11</v>
      </c>
      <c r="C23" s="133" t="s">
        <v>236</v>
      </c>
      <c r="D23" s="149" t="s">
        <v>237</v>
      </c>
      <c r="E23" s="148" t="s">
        <v>215</v>
      </c>
      <c r="F23" s="402" t="s">
        <v>48</v>
      </c>
      <c r="G23" s="403" t="s">
        <v>49</v>
      </c>
      <c r="H23" s="404" t="s">
        <v>340</v>
      </c>
      <c r="I23" s="405" t="s">
        <v>341</v>
      </c>
      <c r="J23" s="265" t="s">
        <v>342</v>
      </c>
    </row>
    <row r="24" spans="1:10" s="54" customFormat="1" ht="12.75">
      <c r="A24" s="44">
        <v>1</v>
      </c>
      <c r="B24" s="44">
        <v>2</v>
      </c>
      <c r="C24" s="44">
        <v>3</v>
      </c>
      <c r="D24" s="44">
        <v>4</v>
      </c>
      <c r="E24" s="44">
        <v>5</v>
      </c>
      <c r="F24" s="214"/>
      <c r="G24" s="215"/>
      <c r="H24" s="214"/>
      <c r="I24" s="215"/>
      <c r="J24" s="256"/>
    </row>
    <row r="25" spans="1:11" ht="36.75" customHeight="1">
      <c r="A25" s="90">
        <v>1</v>
      </c>
      <c r="B25" s="336" t="s">
        <v>279</v>
      </c>
      <c r="C25" s="90"/>
      <c r="D25" s="150"/>
      <c r="E25" s="151">
        <f>16864.2+60+83.94</f>
        <v>17008.14</v>
      </c>
      <c r="F25" s="217">
        <v>17008.14</v>
      </c>
      <c r="G25" s="218">
        <f>1417.37+1417.37+1417.37+1417.37+1417.37+1417.37+1417.37</f>
        <v>9921.59</v>
      </c>
      <c r="H25" s="217">
        <f aca="true" t="shared" si="1" ref="H25:I27">E25-F25</f>
        <v>0</v>
      </c>
      <c r="I25" s="276">
        <f t="shared" si="1"/>
        <v>7086.549999999999</v>
      </c>
      <c r="J25" s="267">
        <f>E25-G25</f>
        <v>7086.549999999999</v>
      </c>
      <c r="K25" s="380"/>
    </row>
    <row r="26" spans="1:11" s="51" customFormat="1" ht="23.25" customHeight="1">
      <c r="A26" s="136">
        <v>2</v>
      </c>
      <c r="B26" s="376" t="s">
        <v>32</v>
      </c>
      <c r="C26" s="46"/>
      <c r="D26" s="377"/>
      <c r="E26" s="378">
        <f>7500-60</f>
        <v>7440</v>
      </c>
      <c r="F26" s="379">
        <v>7440</v>
      </c>
      <c r="G26" s="379">
        <f>3720</f>
        <v>3720</v>
      </c>
      <c r="H26" s="217">
        <f t="shared" si="1"/>
        <v>0</v>
      </c>
      <c r="I26" s="276">
        <f t="shared" si="1"/>
        <v>3720</v>
      </c>
      <c r="J26" s="267">
        <f>E26-G26</f>
        <v>3720</v>
      </c>
      <c r="K26" s="380"/>
    </row>
    <row r="27" spans="1:11" ht="23.25" customHeight="1">
      <c r="A27" s="90">
        <v>3</v>
      </c>
      <c r="B27" s="200" t="s">
        <v>280</v>
      </c>
      <c r="C27" s="44"/>
      <c r="D27" s="127"/>
      <c r="E27" s="151"/>
      <c r="F27" s="217"/>
      <c r="G27" s="218"/>
      <c r="H27" s="217">
        <f t="shared" si="1"/>
        <v>0</v>
      </c>
      <c r="I27" s="276">
        <f t="shared" si="1"/>
        <v>0</v>
      </c>
      <c r="J27" s="267">
        <f>E27-G27</f>
        <v>0</v>
      </c>
      <c r="K27" s="380"/>
    </row>
    <row r="28" spans="1:11" ht="12.75">
      <c r="A28" s="180"/>
      <c r="B28" s="179" t="s">
        <v>8</v>
      </c>
      <c r="C28" s="191" t="s">
        <v>9</v>
      </c>
      <c r="D28" s="192" t="s">
        <v>9</v>
      </c>
      <c r="E28" s="189">
        <f>SUM(E25:E27)</f>
        <v>24448.14</v>
      </c>
      <c r="F28" s="217"/>
      <c r="G28" s="214"/>
      <c r="H28" s="217"/>
      <c r="I28" s="276"/>
      <c r="J28" s="267"/>
      <c r="K28" s="380"/>
    </row>
    <row r="29" spans="3:11" s="50" customFormat="1" ht="12" customHeight="1">
      <c r="C29" s="55"/>
      <c r="D29" s="55"/>
      <c r="F29" s="219"/>
      <c r="G29" s="220"/>
      <c r="H29" s="217"/>
      <c r="I29" s="276"/>
      <c r="J29" s="267"/>
      <c r="K29" s="380"/>
    </row>
    <row r="30" spans="1:11" s="47" customFormat="1" ht="15.75">
      <c r="A30" s="529" t="s">
        <v>360</v>
      </c>
      <c r="B30" s="529"/>
      <c r="C30" s="529"/>
      <c r="D30" s="529"/>
      <c r="E30" s="529"/>
      <c r="F30" s="207"/>
      <c r="G30" s="208"/>
      <c r="H30" s="217"/>
      <c r="I30" s="276"/>
      <c r="J30" s="267"/>
      <c r="K30" s="380"/>
    </row>
    <row r="31" spans="6:11" ht="6.75" customHeight="1">
      <c r="F31" s="209"/>
      <c r="G31" s="210"/>
      <c r="H31" s="217"/>
      <c r="I31" s="276"/>
      <c r="J31" s="267"/>
      <c r="K31" s="380"/>
    </row>
    <row r="32" spans="1:11" ht="39.75" customHeight="1">
      <c r="A32" s="149" t="s">
        <v>211</v>
      </c>
      <c r="B32" s="152" t="s">
        <v>24</v>
      </c>
      <c r="C32" s="152" t="s">
        <v>241</v>
      </c>
      <c r="D32" s="152" t="s">
        <v>238</v>
      </c>
      <c r="E32" s="152" t="s">
        <v>239</v>
      </c>
      <c r="F32" s="212" t="s">
        <v>48</v>
      </c>
      <c r="G32" s="213" t="s">
        <v>49</v>
      </c>
      <c r="H32" s="217"/>
      <c r="I32" s="276"/>
      <c r="J32" s="267"/>
      <c r="K32" s="380"/>
    </row>
    <row r="33" spans="1:11" ht="12.75">
      <c r="A33" s="44">
        <v>1</v>
      </c>
      <c r="B33" s="44">
        <v>2</v>
      </c>
      <c r="C33" s="44">
        <v>3</v>
      </c>
      <c r="D33" s="44">
        <v>4</v>
      </c>
      <c r="E33" s="44">
        <v>5</v>
      </c>
      <c r="F33" s="214"/>
      <c r="G33" s="215"/>
      <c r="H33" s="217"/>
      <c r="I33" s="276"/>
      <c r="J33" s="267"/>
      <c r="K33" s="380"/>
    </row>
    <row r="34" spans="1:11" ht="33" customHeight="1">
      <c r="A34" s="90">
        <v>3</v>
      </c>
      <c r="B34" s="200" t="s">
        <v>283</v>
      </c>
      <c r="C34" s="140"/>
      <c r="D34" s="140"/>
      <c r="E34" s="126">
        <f>300000-26000-17000</f>
        <v>257000</v>
      </c>
      <c r="F34" s="359">
        <f>300000-18606.22-11720.88-12753.41</f>
        <v>256919.49000000002</v>
      </c>
      <c r="G34" s="276">
        <f>43222.07+23653.3+40836.13+24453.8+23312.56+18972.86-18606.22</f>
        <v>155844.49999999997</v>
      </c>
      <c r="H34" s="217">
        <f>E34-F34</f>
        <v>80.50999999998021</v>
      </c>
      <c r="I34" s="276">
        <f>F34-G34</f>
        <v>101074.99000000005</v>
      </c>
      <c r="J34" s="267">
        <f>E34-G34</f>
        <v>101155.50000000003</v>
      </c>
      <c r="K34" s="380"/>
    </row>
    <row r="35" spans="1:11" s="341" customFormat="1" ht="13.5" customHeight="1">
      <c r="A35" s="337">
        <v>4</v>
      </c>
      <c r="B35" s="549" t="s">
        <v>285</v>
      </c>
      <c r="C35" s="550"/>
      <c r="D35" s="338"/>
      <c r="E35" s="339">
        <f>135200-2700-18457.04</f>
        <v>114042.95999999999</v>
      </c>
      <c r="F35" s="340">
        <f>132500-18606.22</f>
        <v>113893.78</v>
      </c>
      <c r="G35" s="340">
        <f>13606.56+9071.04+9826.96+9071.04+10582.88+6047.36+2267.76</f>
        <v>60473.6</v>
      </c>
      <c r="H35" s="217">
        <f>E35-F35</f>
        <v>149.17999999999302</v>
      </c>
      <c r="I35" s="276">
        <f>F35-G35</f>
        <v>53420.18</v>
      </c>
      <c r="J35" s="267">
        <f>E35-G35</f>
        <v>53569.35999999999</v>
      </c>
      <c r="K35" s="380"/>
    </row>
    <row r="36" spans="1:11" ht="12.75">
      <c r="A36" s="178"/>
      <c r="B36" s="179" t="s">
        <v>8</v>
      </c>
      <c r="C36" s="182" t="s">
        <v>9</v>
      </c>
      <c r="D36" s="182" t="s">
        <v>9</v>
      </c>
      <c r="E36" s="189">
        <f>SUM(E34:E35)</f>
        <v>371042.95999999996</v>
      </c>
      <c r="F36" s="214"/>
      <c r="G36" s="214"/>
      <c r="H36" s="217"/>
      <c r="I36" s="276"/>
      <c r="J36" s="267"/>
      <c r="K36" s="380"/>
    </row>
    <row r="37" spans="1:11" ht="19.5" customHeight="1">
      <c r="A37" s="92"/>
      <c r="B37" s="153"/>
      <c r="C37" s="154"/>
      <c r="D37" s="154"/>
      <c r="E37" s="154"/>
      <c r="F37" s="210"/>
      <c r="G37" s="210"/>
      <c r="H37" s="217"/>
      <c r="I37" s="276"/>
      <c r="J37" s="267"/>
      <c r="K37" s="380"/>
    </row>
    <row r="38" spans="1:11" s="47" customFormat="1" ht="16.5" customHeight="1">
      <c r="A38" s="551" t="s">
        <v>361</v>
      </c>
      <c r="B38" s="551"/>
      <c r="C38" s="551"/>
      <c r="D38" s="551"/>
      <c r="E38" s="551"/>
      <c r="F38" s="207"/>
      <c r="G38" s="208"/>
      <c r="H38" s="217"/>
      <c r="I38" s="276"/>
      <c r="J38" s="267"/>
      <c r="K38" s="380"/>
    </row>
    <row r="39" spans="1:11" s="48" customFormat="1" ht="5.25" customHeight="1">
      <c r="A39" s="53"/>
      <c r="B39" s="53"/>
      <c r="C39" s="53"/>
      <c r="D39" s="53"/>
      <c r="E39" s="53"/>
      <c r="F39" s="204"/>
      <c r="G39" s="205"/>
      <c r="H39" s="217"/>
      <c r="I39" s="276"/>
      <c r="J39" s="267"/>
      <c r="K39" s="380"/>
    </row>
    <row r="40" spans="1:11" ht="25.5" customHeight="1">
      <c r="A40" s="149" t="s">
        <v>211</v>
      </c>
      <c r="B40" s="541" t="s">
        <v>11</v>
      </c>
      <c r="C40" s="542"/>
      <c r="D40" s="149" t="s">
        <v>242</v>
      </c>
      <c r="E40" s="148" t="s">
        <v>240</v>
      </c>
      <c r="F40" s="212" t="s">
        <v>48</v>
      </c>
      <c r="G40" s="213" t="s">
        <v>49</v>
      </c>
      <c r="H40" s="217"/>
      <c r="I40" s="276"/>
      <c r="J40" s="267"/>
      <c r="K40" s="380"/>
    </row>
    <row r="41" spans="1:11" s="54" customFormat="1" ht="13.5" customHeight="1">
      <c r="A41" s="93">
        <v>1</v>
      </c>
      <c r="B41" s="508">
        <v>2</v>
      </c>
      <c r="C41" s="524"/>
      <c r="D41" s="44">
        <v>3</v>
      </c>
      <c r="E41" s="44">
        <v>4</v>
      </c>
      <c r="F41" s="214"/>
      <c r="G41" s="215"/>
      <c r="H41" s="217"/>
      <c r="I41" s="276"/>
      <c r="J41" s="267"/>
      <c r="K41" s="380"/>
    </row>
    <row r="42" spans="1:12" s="341" customFormat="1" ht="13.5" customHeight="1">
      <c r="A42" s="428">
        <v>1</v>
      </c>
      <c r="B42" s="546" t="s">
        <v>284</v>
      </c>
      <c r="C42" s="547"/>
      <c r="D42" s="429"/>
      <c r="E42" s="430">
        <f>70230+56000+12170+7020</f>
        <v>145420</v>
      </c>
      <c r="F42" s="340">
        <f>4320+8100+18900+10800+26800+13500+55980+2700+4320</f>
        <v>145420</v>
      </c>
      <c r="G42" s="340">
        <f>4320+8100+18900+10800+13500+2233.3+55980+2233.3+2700+2233.3+2233.3+2233.3+4320+2233.3+2233.3+2233.3</f>
        <v>136486.4</v>
      </c>
      <c r="H42" s="409">
        <f aca="true" t="shared" si="2" ref="H42:H52">E42-F42</f>
        <v>0</v>
      </c>
      <c r="I42" s="276">
        <f aca="true" t="shared" si="3" ref="I42:I52">F42-G42</f>
        <v>8933.600000000006</v>
      </c>
      <c r="J42" s="267">
        <f aca="true" t="shared" si="4" ref="J42:J52">E42-G42</f>
        <v>8933.600000000006</v>
      </c>
      <c r="K42" s="380"/>
      <c r="L42" s="380"/>
    </row>
    <row r="43" spans="1:11" s="341" customFormat="1" ht="13.5" customHeight="1">
      <c r="A43" s="428">
        <v>2</v>
      </c>
      <c r="B43" s="537" t="s">
        <v>286</v>
      </c>
      <c r="C43" s="538"/>
      <c r="D43" s="431"/>
      <c r="E43" s="430">
        <f>12000+18457.04</f>
        <v>30457.04</v>
      </c>
      <c r="F43" s="340">
        <f>12000+18457.04</f>
        <v>30457.04</v>
      </c>
      <c r="G43" s="340">
        <f>12000+18457.04</f>
        <v>30457.04</v>
      </c>
      <c r="H43" s="217">
        <f t="shared" si="2"/>
        <v>0</v>
      </c>
      <c r="I43" s="276">
        <f t="shared" si="3"/>
        <v>0</v>
      </c>
      <c r="J43" s="267">
        <f t="shared" si="4"/>
        <v>0</v>
      </c>
      <c r="K43" s="380"/>
    </row>
    <row r="44" spans="1:11" s="341" customFormat="1" ht="13.5" customHeight="1">
      <c r="A44" s="428">
        <v>3</v>
      </c>
      <c r="B44" s="537" t="s">
        <v>33</v>
      </c>
      <c r="C44" s="538"/>
      <c r="D44" s="429"/>
      <c r="E44" s="430">
        <f>17000-500</f>
        <v>16500</v>
      </c>
      <c r="F44" s="340">
        <v>16500</v>
      </c>
      <c r="G44" s="340">
        <v>16500</v>
      </c>
      <c r="H44" s="217">
        <f t="shared" si="2"/>
        <v>0</v>
      </c>
      <c r="I44" s="276">
        <f t="shared" si="3"/>
        <v>0</v>
      </c>
      <c r="J44" s="267">
        <f t="shared" si="4"/>
        <v>0</v>
      </c>
      <c r="K44" s="380"/>
    </row>
    <row r="45" spans="1:11" s="341" customFormat="1" ht="13.5" customHeight="1">
      <c r="A45" s="428">
        <v>4</v>
      </c>
      <c r="B45" s="546" t="s">
        <v>287</v>
      </c>
      <c r="C45" s="547"/>
      <c r="D45" s="429"/>
      <c r="E45" s="430">
        <f>40000-10000-27000</f>
        <v>3000</v>
      </c>
      <c r="F45" s="340"/>
      <c r="G45" s="340"/>
      <c r="H45" s="217">
        <f t="shared" si="2"/>
        <v>3000</v>
      </c>
      <c r="I45" s="276">
        <f t="shared" si="3"/>
        <v>0</v>
      </c>
      <c r="J45" s="267">
        <f t="shared" si="4"/>
        <v>3000</v>
      </c>
      <c r="K45" s="380"/>
    </row>
    <row r="46" spans="1:11" s="341" customFormat="1" ht="13.5" customHeight="1">
      <c r="A46" s="428">
        <v>5</v>
      </c>
      <c r="B46" s="537" t="s">
        <v>34</v>
      </c>
      <c r="C46" s="538"/>
      <c r="D46" s="429"/>
      <c r="E46" s="430"/>
      <c r="F46" s="340"/>
      <c r="G46" s="340"/>
      <c r="H46" s="217">
        <f t="shared" si="2"/>
        <v>0</v>
      </c>
      <c r="I46" s="276">
        <f t="shared" si="3"/>
        <v>0</v>
      </c>
      <c r="J46" s="267">
        <f t="shared" si="4"/>
        <v>0</v>
      </c>
      <c r="K46" s="380"/>
    </row>
    <row r="47" spans="1:11" s="341" customFormat="1" ht="21.75" customHeight="1">
      <c r="A47" s="428">
        <v>6</v>
      </c>
      <c r="B47" s="532" t="s">
        <v>288</v>
      </c>
      <c r="C47" s="533"/>
      <c r="D47" s="429"/>
      <c r="E47" s="430">
        <f>49968-1000-968</f>
        <v>48000</v>
      </c>
      <c r="F47" s="340">
        <v>48000</v>
      </c>
      <c r="G47" s="340">
        <f>4000+4000+4000+4000+4000+4000+4000+4000+4000</f>
        <v>36000</v>
      </c>
      <c r="H47" s="217">
        <f t="shared" si="2"/>
        <v>0</v>
      </c>
      <c r="I47" s="276">
        <f t="shared" si="3"/>
        <v>12000</v>
      </c>
      <c r="J47" s="267">
        <f t="shared" si="4"/>
        <v>12000</v>
      </c>
      <c r="K47" s="380"/>
    </row>
    <row r="48" spans="1:11" s="341" customFormat="1" ht="21.75" customHeight="1">
      <c r="A48" s="428">
        <v>7</v>
      </c>
      <c r="B48" s="532" t="s">
        <v>329</v>
      </c>
      <c r="C48" s="533"/>
      <c r="D48" s="429"/>
      <c r="E48" s="430">
        <f>5161.7+5423.76+262.02</f>
        <v>10847.48</v>
      </c>
      <c r="F48" s="340">
        <f>5423.76+8135.64</f>
        <v>13559.400000000001</v>
      </c>
      <c r="G48" s="340">
        <f>451.98+451.98+451.98+903.96+903.96+903.96+903.96+903.96</f>
        <v>5875.740000000001</v>
      </c>
      <c r="H48" s="217">
        <f t="shared" si="2"/>
        <v>-2711.920000000002</v>
      </c>
      <c r="I48" s="276">
        <f t="shared" si="3"/>
        <v>7683.660000000001</v>
      </c>
      <c r="J48" s="267">
        <f t="shared" si="4"/>
        <v>4971.739999999999</v>
      </c>
      <c r="K48" s="380"/>
    </row>
    <row r="49" spans="1:11" s="341" customFormat="1" ht="13.5" customHeight="1">
      <c r="A49" s="428">
        <v>8</v>
      </c>
      <c r="B49" s="537" t="s">
        <v>350</v>
      </c>
      <c r="C49" s="538"/>
      <c r="D49" s="429"/>
      <c r="E49" s="430">
        <f>17500-5143.97</f>
        <v>12356.029999999999</v>
      </c>
      <c r="F49" s="343"/>
      <c r="G49" s="340"/>
      <c r="H49" s="217">
        <f t="shared" si="2"/>
        <v>12356.029999999999</v>
      </c>
      <c r="I49" s="276">
        <f t="shared" si="3"/>
        <v>0</v>
      </c>
      <c r="J49" s="267">
        <f t="shared" si="4"/>
        <v>12356.029999999999</v>
      </c>
      <c r="K49" s="380"/>
    </row>
    <row r="50" spans="1:11" s="341" customFormat="1" ht="13.5" customHeight="1">
      <c r="A50" s="428">
        <v>9</v>
      </c>
      <c r="B50" s="537" t="s">
        <v>35</v>
      </c>
      <c r="C50" s="538"/>
      <c r="D50" s="429"/>
      <c r="E50" s="430">
        <f>67400-20000</f>
        <v>47400</v>
      </c>
      <c r="F50" s="343"/>
      <c r="G50" s="340"/>
      <c r="H50" s="217">
        <f t="shared" si="2"/>
        <v>47400</v>
      </c>
      <c r="I50" s="276">
        <f t="shared" si="3"/>
        <v>0</v>
      </c>
      <c r="J50" s="267">
        <f t="shared" si="4"/>
        <v>47400</v>
      </c>
      <c r="K50" s="380"/>
    </row>
    <row r="51" spans="1:11" s="341" customFormat="1" ht="13.5" customHeight="1">
      <c r="A51" s="428">
        <v>10</v>
      </c>
      <c r="B51" s="537" t="s">
        <v>351</v>
      </c>
      <c r="C51" s="538"/>
      <c r="D51" s="429"/>
      <c r="E51" s="430">
        <v>4000</v>
      </c>
      <c r="F51" s="343">
        <f>3080</f>
        <v>3080</v>
      </c>
      <c r="G51" s="343">
        <f>3080</f>
        <v>3080</v>
      </c>
      <c r="H51" s="217">
        <f t="shared" si="2"/>
        <v>920</v>
      </c>
      <c r="I51" s="276">
        <f t="shared" si="3"/>
        <v>0</v>
      </c>
      <c r="J51" s="267">
        <f t="shared" si="4"/>
        <v>920</v>
      </c>
      <c r="K51" s="380"/>
    </row>
    <row r="52" spans="1:11" s="341" customFormat="1" ht="13.5" customHeight="1">
      <c r="A52" s="428">
        <v>11</v>
      </c>
      <c r="B52" s="537" t="s">
        <v>327</v>
      </c>
      <c r="C52" s="538"/>
      <c r="D52" s="429"/>
      <c r="E52" s="430">
        <v>15000</v>
      </c>
      <c r="F52" s="343"/>
      <c r="G52" s="340"/>
      <c r="H52" s="217">
        <f t="shared" si="2"/>
        <v>15000</v>
      </c>
      <c r="I52" s="276">
        <f t="shared" si="3"/>
        <v>0</v>
      </c>
      <c r="J52" s="267">
        <f t="shared" si="4"/>
        <v>15000</v>
      </c>
      <c r="K52" s="380"/>
    </row>
    <row r="53" spans="1:11" s="341" customFormat="1" ht="13.5" customHeight="1">
      <c r="A53" s="428">
        <v>12</v>
      </c>
      <c r="B53" s="537" t="s">
        <v>427</v>
      </c>
      <c r="C53" s="538"/>
      <c r="D53" s="429"/>
      <c r="E53" s="430">
        <f>6000-6000</f>
        <v>0</v>
      </c>
      <c r="F53" s="343"/>
      <c r="G53" s="340"/>
      <c r="H53" s="217">
        <f aca="true" t="shared" si="5" ref="H53:I55">E53-F53</f>
        <v>0</v>
      </c>
      <c r="I53" s="276">
        <f t="shared" si="5"/>
        <v>0</v>
      </c>
      <c r="J53" s="267">
        <f>E53-G53</f>
        <v>0</v>
      </c>
      <c r="K53" s="380"/>
    </row>
    <row r="54" spans="1:11" s="341" customFormat="1" ht="22.5" customHeight="1">
      <c r="A54" s="428">
        <v>13</v>
      </c>
      <c r="B54" s="532" t="s">
        <v>434</v>
      </c>
      <c r="C54" s="534"/>
      <c r="D54" s="429"/>
      <c r="E54" s="430">
        <v>27000</v>
      </c>
      <c r="F54" s="343">
        <f>27000</f>
        <v>27000</v>
      </c>
      <c r="G54" s="340">
        <f>4500+4500</f>
        <v>9000</v>
      </c>
      <c r="H54" s="217">
        <f t="shared" si="5"/>
        <v>0</v>
      </c>
      <c r="I54" s="276">
        <f t="shared" si="5"/>
        <v>18000</v>
      </c>
      <c r="J54" s="267">
        <f>E54-G54</f>
        <v>18000</v>
      </c>
      <c r="K54" s="380"/>
    </row>
    <row r="55" spans="1:11" s="341" customFormat="1" ht="22.5" customHeight="1">
      <c r="A55" s="428">
        <v>14</v>
      </c>
      <c r="B55" s="532" t="s">
        <v>436</v>
      </c>
      <c r="C55" s="534"/>
      <c r="D55" s="429"/>
      <c r="E55" s="430">
        <v>26000</v>
      </c>
      <c r="F55" s="343">
        <v>26000</v>
      </c>
      <c r="G55" s="340">
        <v>26000</v>
      </c>
      <c r="H55" s="217">
        <f t="shared" si="5"/>
        <v>0</v>
      </c>
      <c r="I55" s="276">
        <f t="shared" si="5"/>
        <v>0</v>
      </c>
      <c r="J55" s="267">
        <f>E55-G55</f>
        <v>0</v>
      </c>
      <c r="K55" s="380"/>
    </row>
    <row r="56" spans="1:11" ht="13.5" customHeight="1">
      <c r="A56" s="188"/>
      <c r="B56" s="527" t="s">
        <v>8</v>
      </c>
      <c r="C56" s="528"/>
      <c r="D56" s="189" t="s">
        <v>9</v>
      </c>
      <c r="E56" s="189">
        <f>SUM(E42:E55)</f>
        <v>385980.55000000005</v>
      </c>
      <c r="F56" s="407"/>
      <c r="G56" s="408"/>
      <c r="H56" s="217"/>
      <c r="I56" s="276"/>
      <c r="J56" s="267"/>
      <c r="K56" s="380"/>
    </row>
    <row r="57" spans="1:11" s="158" customFormat="1" ht="11.25" customHeight="1">
      <c r="A57" s="155"/>
      <c r="B57" s="156"/>
      <c r="C57" s="157"/>
      <c r="D57" s="154"/>
      <c r="E57" s="154"/>
      <c r="F57" s="209"/>
      <c r="G57" s="210"/>
      <c r="H57" s="217"/>
      <c r="I57" s="276"/>
      <c r="J57" s="267"/>
      <c r="K57" s="380"/>
    </row>
    <row r="58" spans="1:11" s="139" customFormat="1" ht="11.25" customHeight="1">
      <c r="A58" s="517" t="s">
        <v>362</v>
      </c>
      <c r="B58" s="517"/>
      <c r="C58" s="517"/>
      <c r="D58" s="517"/>
      <c r="E58" s="517"/>
      <c r="F58" s="221"/>
      <c r="G58" s="221"/>
      <c r="H58" s="217"/>
      <c r="I58" s="276"/>
      <c r="J58" s="267"/>
      <c r="K58" s="380"/>
    </row>
    <row r="59" spans="1:11" s="48" customFormat="1" ht="12" customHeight="1">
      <c r="A59" s="53"/>
      <c r="B59" s="53"/>
      <c r="C59" s="53"/>
      <c r="D59" s="53"/>
      <c r="E59" s="53"/>
      <c r="F59" s="204"/>
      <c r="G59" s="205"/>
      <c r="H59" s="217"/>
      <c r="I59" s="276"/>
      <c r="J59" s="267"/>
      <c r="K59" s="380"/>
    </row>
    <row r="60" spans="1:11" ht="24" customHeight="1">
      <c r="A60" s="149" t="s">
        <v>211</v>
      </c>
      <c r="B60" s="522" t="s">
        <v>11</v>
      </c>
      <c r="C60" s="523"/>
      <c r="D60" s="149" t="s">
        <v>232</v>
      </c>
      <c r="E60" s="148" t="s">
        <v>233</v>
      </c>
      <c r="F60" s="212" t="s">
        <v>48</v>
      </c>
      <c r="G60" s="213" t="s">
        <v>49</v>
      </c>
      <c r="H60" s="217"/>
      <c r="I60" s="276"/>
      <c r="J60" s="267"/>
      <c r="K60" s="380"/>
    </row>
    <row r="61" spans="1:11" s="54" customFormat="1" ht="12.75">
      <c r="A61" s="93">
        <v>1</v>
      </c>
      <c r="B61" s="508">
        <v>2</v>
      </c>
      <c r="C61" s="524"/>
      <c r="D61" s="44">
        <v>3</v>
      </c>
      <c r="E61" s="125">
        <v>4</v>
      </c>
      <c r="F61" s="214"/>
      <c r="G61" s="215"/>
      <c r="H61" s="217"/>
      <c r="I61" s="276"/>
      <c r="J61" s="267"/>
      <c r="K61" s="380"/>
    </row>
    <row r="62" spans="1:11" s="341" customFormat="1" ht="29.25" customHeight="1">
      <c r="A62" s="136">
        <v>1</v>
      </c>
      <c r="B62" s="535" t="s">
        <v>289</v>
      </c>
      <c r="C62" s="539"/>
      <c r="D62" s="429"/>
      <c r="E62" s="432">
        <f>24530.54-966.14</f>
        <v>23564.4</v>
      </c>
      <c r="F62" s="340">
        <v>23564.4</v>
      </c>
      <c r="G62" s="340">
        <f>1963.7+1963.7+1963.7+1963.7+1963.7+1963.7+1963.7+1963.7</f>
        <v>15709.600000000002</v>
      </c>
      <c r="H62" s="217">
        <f aca="true" t="shared" si="6" ref="H62:H85">E62-F62</f>
        <v>0</v>
      </c>
      <c r="I62" s="276">
        <f aca="true" t="shared" si="7" ref="I62:I85">F62-G62</f>
        <v>7854.799999999999</v>
      </c>
      <c r="J62" s="267">
        <f aca="true" t="shared" si="8" ref="J62:J85">E62-G62</f>
        <v>7854.799999999999</v>
      </c>
      <c r="K62" s="380"/>
    </row>
    <row r="63" spans="1:11" s="341" customFormat="1" ht="29.25" customHeight="1">
      <c r="A63" s="136">
        <v>2</v>
      </c>
      <c r="B63" s="535" t="s">
        <v>291</v>
      </c>
      <c r="C63" s="539"/>
      <c r="D63" s="429"/>
      <c r="E63" s="432">
        <f>1511410.22+336572.11-250000-28000+20451.84+2133.3+4870.53</f>
        <v>1597438.0000000002</v>
      </c>
      <c r="F63" s="423">
        <f>132184+126612+151032+1196166-59830+51274</f>
        <v>1597438</v>
      </c>
      <c r="G63" s="340">
        <f>132184+126612+151032+154566+51274+163618</f>
        <v>779286</v>
      </c>
      <c r="H63" s="217">
        <f t="shared" si="6"/>
        <v>0</v>
      </c>
      <c r="I63" s="276">
        <f t="shared" si="7"/>
        <v>818152</v>
      </c>
      <c r="J63" s="267">
        <f t="shared" si="8"/>
        <v>818152.0000000002</v>
      </c>
      <c r="K63" s="380"/>
    </row>
    <row r="64" spans="1:11" s="341" customFormat="1" ht="20.25" customHeight="1">
      <c r="A64" s="136">
        <v>3</v>
      </c>
      <c r="B64" s="525" t="s">
        <v>307</v>
      </c>
      <c r="C64" s="526"/>
      <c r="D64" s="429"/>
      <c r="E64" s="432">
        <f>1093764.7-158275.1-28000-20451.84-4870.53</f>
        <v>882167.23</v>
      </c>
      <c r="F64" s="340">
        <f>67165.21+74320.68+83580.7+661971.17-33131.63+28261.1</f>
        <v>882167.23</v>
      </c>
      <c r="G64" s="340">
        <f>67165.21+74320.68+83580.7+78169+28261.1+70712.88</f>
        <v>402209.57</v>
      </c>
      <c r="H64" s="217">
        <f t="shared" si="6"/>
        <v>0</v>
      </c>
      <c r="I64" s="276">
        <f t="shared" si="7"/>
        <v>479957.66</v>
      </c>
      <c r="J64" s="267">
        <f t="shared" si="8"/>
        <v>479957.66</v>
      </c>
      <c r="K64" s="380"/>
    </row>
    <row r="65" spans="1:11" s="341" customFormat="1" ht="12.75">
      <c r="A65" s="136">
        <v>4</v>
      </c>
      <c r="B65" s="548" t="s">
        <v>290</v>
      </c>
      <c r="C65" s="539"/>
      <c r="D65" s="429"/>
      <c r="E65" s="432">
        <f>110000-4293</f>
        <v>105707</v>
      </c>
      <c r="F65" s="340">
        <f>24522+1885+79300</f>
        <v>105707</v>
      </c>
      <c r="G65" s="340">
        <f>24522+1885+79300</f>
        <v>105707</v>
      </c>
      <c r="H65" s="217">
        <f t="shared" si="6"/>
        <v>0</v>
      </c>
      <c r="I65" s="276">
        <f t="shared" si="7"/>
        <v>0</v>
      </c>
      <c r="J65" s="267">
        <f t="shared" si="8"/>
        <v>0</v>
      </c>
      <c r="K65" s="380"/>
    </row>
    <row r="66" spans="1:11" s="341" customFormat="1" ht="13.5" customHeight="1">
      <c r="A66" s="136">
        <v>5</v>
      </c>
      <c r="B66" s="535" t="s">
        <v>292</v>
      </c>
      <c r="C66" s="539"/>
      <c r="D66" s="429"/>
      <c r="E66" s="432">
        <f>35000-15000</f>
        <v>20000</v>
      </c>
      <c r="F66" s="340">
        <f>2412+13500</f>
        <v>15912</v>
      </c>
      <c r="G66" s="340">
        <f>2412+13500</f>
        <v>15912</v>
      </c>
      <c r="H66" s="217">
        <f t="shared" si="6"/>
        <v>4088</v>
      </c>
      <c r="I66" s="276">
        <f t="shared" si="7"/>
        <v>0</v>
      </c>
      <c r="J66" s="267">
        <f t="shared" si="8"/>
        <v>4088</v>
      </c>
      <c r="K66" s="380"/>
    </row>
    <row r="67" spans="1:11" s="341" customFormat="1" ht="20.25" customHeight="1">
      <c r="A67" s="136">
        <v>6</v>
      </c>
      <c r="B67" s="525" t="s">
        <v>298</v>
      </c>
      <c r="C67" s="526"/>
      <c r="D67" s="429"/>
      <c r="E67" s="432">
        <f>463600-83.94-9670-7846.06</f>
        <v>446000</v>
      </c>
      <c r="F67" s="340">
        <v>446000</v>
      </c>
      <c r="G67" s="340">
        <f>32000+38000+42000+40000+51400+42000</f>
        <v>245400</v>
      </c>
      <c r="H67" s="217">
        <f t="shared" si="6"/>
        <v>0</v>
      </c>
      <c r="I67" s="276">
        <f t="shared" si="7"/>
        <v>200600</v>
      </c>
      <c r="J67" s="267">
        <f t="shared" si="8"/>
        <v>200600</v>
      </c>
      <c r="K67" s="380"/>
    </row>
    <row r="68" spans="1:11" s="341" customFormat="1" ht="20.25" customHeight="1">
      <c r="A68" s="136">
        <v>7</v>
      </c>
      <c r="B68" s="525" t="s">
        <v>301</v>
      </c>
      <c r="C68" s="526"/>
      <c r="D68" s="429"/>
      <c r="E68" s="432">
        <v>1900</v>
      </c>
      <c r="F68" s="340"/>
      <c r="G68" s="340"/>
      <c r="H68" s="217">
        <f t="shared" si="6"/>
        <v>1900</v>
      </c>
      <c r="I68" s="276">
        <f t="shared" si="7"/>
        <v>0</v>
      </c>
      <c r="J68" s="267">
        <f t="shared" si="8"/>
        <v>1900</v>
      </c>
      <c r="K68" s="380"/>
    </row>
    <row r="69" spans="1:11" s="341" customFormat="1" ht="24.75" customHeight="1">
      <c r="A69" s="136">
        <v>8</v>
      </c>
      <c r="B69" s="535" t="s">
        <v>352</v>
      </c>
      <c r="C69" s="536"/>
      <c r="D69" s="429"/>
      <c r="E69" s="432">
        <f>12000-2000</f>
        <v>10000</v>
      </c>
      <c r="F69" s="340">
        <v>10000</v>
      </c>
      <c r="G69" s="340">
        <v>10000</v>
      </c>
      <c r="H69" s="217">
        <f t="shared" si="6"/>
        <v>0</v>
      </c>
      <c r="I69" s="276">
        <f t="shared" si="7"/>
        <v>0</v>
      </c>
      <c r="J69" s="267">
        <f t="shared" si="8"/>
        <v>0</v>
      </c>
      <c r="K69" s="380"/>
    </row>
    <row r="70" spans="1:11" s="341" customFormat="1" ht="20.25" customHeight="1">
      <c r="A70" s="136">
        <v>9</v>
      </c>
      <c r="B70" s="545" t="s">
        <v>385</v>
      </c>
      <c r="C70" s="545"/>
      <c r="D70" s="433"/>
      <c r="E70" s="434">
        <f>12600+230</f>
        <v>12830</v>
      </c>
      <c r="F70" s="340">
        <f>12180+650</f>
        <v>12830</v>
      </c>
      <c r="G70" s="342">
        <f>12180+650</f>
        <v>12830</v>
      </c>
      <c r="H70" s="217">
        <f t="shared" si="6"/>
        <v>0</v>
      </c>
      <c r="I70" s="276">
        <f t="shared" si="7"/>
        <v>0</v>
      </c>
      <c r="J70" s="267">
        <f t="shared" si="8"/>
        <v>0</v>
      </c>
      <c r="K70" s="380"/>
    </row>
    <row r="71" spans="1:11" s="341" customFormat="1" ht="20.25" customHeight="1">
      <c r="A71" s="136">
        <v>10</v>
      </c>
      <c r="B71" s="525" t="s">
        <v>315</v>
      </c>
      <c r="C71" s="526"/>
      <c r="D71" s="433"/>
      <c r="E71" s="434">
        <f>25000+1000</f>
        <v>26000</v>
      </c>
      <c r="F71" s="340">
        <v>26000</v>
      </c>
      <c r="G71" s="342">
        <f>4000+2000+2000+2000+2000+2000+2000</f>
        <v>16000</v>
      </c>
      <c r="H71" s="217">
        <f t="shared" si="6"/>
        <v>0</v>
      </c>
      <c r="I71" s="276">
        <f t="shared" si="7"/>
        <v>10000</v>
      </c>
      <c r="J71" s="267">
        <f t="shared" si="8"/>
        <v>10000</v>
      </c>
      <c r="K71" s="380"/>
    </row>
    <row r="72" spans="1:11" s="341" customFormat="1" ht="20.25" customHeight="1">
      <c r="A72" s="136">
        <v>11</v>
      </c>
      <c r="B72" s="525" t="s">
        <v>320</v>
      </c>
      <c r="C72" s="526"/>
      <c r="D72" s="433"/>
      <c r="E72" s="434">
        <v>20000</v>
      </c>
      <c r="F72" s="340">
        <v>19800</v>
      </c>
      <c r="G72" s="342">
        <f>1650+1650+1650+1650+1650+1650</f>
        <v>9900</v>
      </c>
      <c r="H72" s="217">
        <f t="shared" si="6"/>
        <v>200</v>
      </c>
      <c r="I72" s="276">
        <f t="shared" si="7"/>
        <v>9900</v>
      </c>
      <c r="J72" s="267">
        <f t="shared" si="8"/>
        <v>10100</v>
      </c>
      <c r="K72" s="380"/>
    </row>
    <row r="73" spans="1:11" s="341" customFormat="1" ht="20.25" customHeight="1">
      <c r="A73" s="136">
        <v>12</v>
      </c>
      <c r="B73" s="426" t="s">
        <v>380</v>
      </c>
      <c r="C73" s="427"/>
      <c r="D73" s="433"/>
      <c r="E73" s="434">
        <v>440000</v>
      </c>
      <c r="F73" s="340">
        <v>440000</v>
      </c>
      <c r="G73" s="342">
        <v>440000</v>
      </c>
      <c r="H73" s="217">
        <f t="shared" si="6"/>
        <v>0</v>
      </c>
      <c r="I73" s="276">
        <f t="shared" si="7"/>
        <v>0</v>
      </c>
      <c r="J73" s="267">
        <f t="shared" si="8"/>
        <v>0</v>
      </c>
      <c r="K73" s="380"/>
    </row>
    <row r="74" spans="1:11" s="341" customFormat="1" ht="20.25" customHeight="1">
      <c r="A74" s="136">
        <v>14</v>
      </c>
      <c r="B74" s="426" t="s">
        <v>372</v>
      </c>
      <c r="C74" s="427"/>
      <c r="D74" s="433"/>
      <c r="E74" s="434"/>
      <c r="F74" s="340"/>
      <c r="G74" s="342"/>
      <c r="H74" s="217">
        <f t="shared" si="6"/>
        <v>0</v>
      </c>
      <c r="I74" s="276">
        <f t="shared" si="7"/>
        <v>0</v>
      </c>
      <c r="J74" s="267">
        <f t="shared" si="8"/>
        <v>0</v>
      </c>
      <c r="K74" s="380"/>
    </row>
    <row r="75" spans="1:11" s="341" customFormat="1" ht="26.25" customHeight="1">
      <c r="A75" s="136">
        <v>16</v>
      </c>
      <c r="B75" s="535" t="s">
        <v>375</v>
      </c>
      <c r="C75" s="536"/>
      <c r="D75" s="433"/>
      <c r="E75" s="434">
        <v>15000</v>
      </c>
      <c r="F75" s="340"/>
      <c r="G75" s="342"/>
      <c r="H75" s="217">
        <f aca="true" t="shared" si="9" ref="H75:I78">E75-F75</f>
        <v>15000</v>
      </c>
      <c r="I75" s="276">
        <f t="shared" si="9"/>
        <v>0</v>
      </c>
      <c r="J75" s="267">
        <f aca="true" t="shared" si="10" ref="J75:J81">E75-G75</f>
        <v>15000</v>
      </c>
      <c r="K75" s="380"/>
    </row>
    <row r="76" spans="1:11" s="341" customFormat="1" ht="26.25" customHeight="1">
      <c r="A76" s="136">
        <v>17</v>
      </c>
      <c r="B76" s="535" t="s">
        <v>391</v>
      </c>
      <c r="C76" s="536"/>
      <c r="D76" s="433"/>
      <c r="E76" s="434">
        <v>89000</v>
      </c>
      <c r="F76" s="340"/>
      <c r="G76" s="342"/>
      <c r="H76" s="217">
        <f t="shared" si="9"/>
        <v>89000</v>
      </c>
      <c r="I76" s="276">
        <f t="shared" si="9"/>
        <v>0</v>
      </c>
      <c r="J76" s="267">
        <f t="shared" si="10"/>
        <v>89000</v>
      </c>
      <c r="K76" s="380"/>
    </row>
    <row r="77" spans="1:11" s="341" customFormat="1" ht="26.25" customHeight="1">
      <c r="A77" s="136">
        <v>18</v>
      </c>
      <c r="B77" s="535" t="s">
        <v>392</v>
      </c>
      <c r="C77" s="536"/>
      <c r="D77" s="433"/>
      <c r="E77" s="434">
        <v>28161.05</v>
      </c>
      <c r="F77" s="340"/>
      <c r="G77" s="342"/>
      <c r="H77" s="217">
        <f t="shared" si="9"/>
        <v>28161.05</v>
      </c>
      <c r="I77" s="276">
        <f t="shared" si="9"/>
        <v>0</v>
      </c>
      <c r="J77" s="267">
        <f t="shared" si="10"/>
        <v>28161.05</v>
      </c>
      <c r="K77" s="380"/>
    </row>
    <row r="78" spans="1:11" s="341" customFormat="1" ht="26.25" customHeight="1">
      <c r="A78" s="136">
        <v>19</v>
      </c>
      <c r="B78" s="535" t="s">
        <v>398</v>
      </c>
      <c r="C78" s="536"/>
      <c r="D78" s="433"/>
      <c r="E78" s="434">
        <f>116715-715</f>
        <v>116000</v>
      </c>
      <c r="F78" s="340">
        <v>116000</v>
      </c>
      <c r="G78" s="342">
        <v>116000</v>
      </c>
      <c r="H78" s="217">
        <f t="shared" si="9"/>
        <v>0</v>
      </c>
      <c r="I78" s="276">
        <f t="shared" si="9"/>
        <v>0</v>
      </c>
      <c r="J78" s="267">
        <f t="shared" si="10"/>
        <v>0</v>
      </c>
      <c r="K78" s="380"/>
    </row>
    <row r="79" spans="1:11" s="341" customFormat="1" ht="26.25" customHeight="1">
      <c r="A79" s="136">
        <v>20</v>
      </c>
      <c r="B79" s="535" t="s">
        <v>409</v>
      </c>
      <c r="C79" s="536"/>
      <c r="D79" s="433"/>
      <c r="E79" s="434">
        <v>110000</v>
      </c>
      <c r="F79" s="340">
        <v>110000</v>
      </c>
      <c r="G79" s="342">
        <f>10000+10000+10000+10000+10000+10000+10000</f>
        <v>70000</v>
      </c>
      <c r="H79" s="217">
        <f aca="true" t="shared" si="11" ref="H79:I81">E79-F79</f>
        <v>0</v>
      </c>
      <c r="I79" s="276">
        <f t="shared" si="11"/>
        <v>40000</v>
      </c>
      <c r="J79" s="267">
        <f t="shared" si="10"/>
        <v>40000</v>
      </c>
      <c r="K79" s="380"/>
    </row>
    <row r="80" spans="1:11" s="341" customFormat="1" ht="26.25" customHeight="1">
      <c r="A80" s="136">
        <v>21</v>
      </c>
      <c r="B80" s="535" t="s">
        <v>411</v>
      </c>
      <c r="C80" s="536"/>
      <c r="D80" s="433"/>
      <c r="E80" s="434">
        <v>29624.17</v>
      </c>
      <c r="F80" s="340">
        <v>29624.17</v>
      </c>
      <c r="G80" s="342">
        <v>29624.17</v>
      </c>
      <c r="H80" s="217">
        <f t="shared" si="11"/>
        <v>0</v>
      </c>
      <c r="I80" s="276">
        <f t="shared" si="11"/>
        <v>0</v>
      </c>
      <c r="J80" s="267">
        <f t="shared" si="10"/>
        <v>0</v>
      </c>
      <c r="K80" s="380"/>
    </row>
    <row r="81" spans="1:11" s="341" customFormat="1" ht="26.25" customHeight="1">
      <c r="A81" s="136">
        <v>22</v>
      </c>
      <c r="B81" s="535" t="s">
        <v>423</v>
      </c>
      <c r="C81" s="536"/>
      <c r="D81" s="433"/>
      <c r="E81" s="434">
        <v>54600</v>
      </c>
      <c r="F81" s="340">
        <v>46200</v>
      </c>
      <c r="G81" s="342">
        <v>46200</v>
      </c>
      <c r="H81" s="217">
        <f t="shared" si="11"/>
        <v>8400</v>
      </c>
      <c r="I81" s="276">
        <f t="shared" si="11"/>
        <v>0</v>
      </c>
      <c r="J81" s="267">
        <f t="shared" si="10"/>
        <v>8400</v>
      </c>
      <c r="K81" s="380"/>
    </row>
    <row r="82" spans="1:11" s="341" customFormat="1" ht="26.25" customHeight="1">
      <c r="A82" s="136">
        <v>23</v>
      </c>
      <c r="B82" s="535" t="s">
        <v>426</v>
      </c>
      <c r="C82" s="536"/>
      <c r="D82" s="433"/>
      <c r="E82" s="434">
        <v>2000</v>
      </c>
      <c r="F82" s="340">
        <v>2000</v>
      </c>
      <c r="G82" s="342">
        <v>2000</v>
      </c>
      <c r="H82" s="217">
        <f aca="true" t="shared" si="12" ref="H82:I84">E82-F82</f>
        <v>0</v>
      </c>
      <c r="I82" s="276">
        <f t="shared" si="12"/>
        <v>0</v>
      </c>
      <c r="J82" s="267">
        <f>E82-G82</f>
        <v>0</v>
      </c>
      <c r="K82" s="380"/>
    </row>
    <row r="83" spans="1:11" s="341" customFormat="1" ht="18" customHeight="1">
      <c r="A83" s="136">
        <v>24</v>
      </c>
      <c r="B83" s="535" t="s">
        <v>428</v>
      </c>
      <c r="C83" s="536"/>
      <c r="D83" s="433"/>
      <c r="E83" s="434">
        <v>25500</v>
      </c>
      <c r="F83" s="342">
        <f>25500</f>
        <v>25500</v>
      </c>
      <c r="G83" s="342">
        <f>25500</f>
        <v>25500</v>
      </c>
      <c r="H83" s="217">
        <f t="shared" si="12"/>
        <v>0</v>
      </c>
      <c r="I83" s="276">
        <f t="shared" si="12"/>
        <v>0</v>
      </c>
      <c r="J83" s="267">
        <f>E83-G83</f>
        <v>0</v>
      </c>
      <c r="K83" s="380"/>
    </row>
    <row r="84" spans="1:11" s="341" customFormat="1" ht="15.75" customHeight="1">
      <c r="A84" s="136">
        <v>25</v>
      </c>
      <c r="B84" s="535" t="s">
        <v>429</v>
      </c>
      <c r="C84" s="536"/>
      <c r="D84" s="433"/>
      <c r="E84" s="434">
        <v>1800</v>
      </c>
      <c r="F84" s="340"/>
      <c r="G84" s="342"/>
      <c r="H84" s="217">
        <f t="shared" si="12"/>
        <v>1800</v>
      </c>
      <c r="I84" s="276">
        <f t="shared" si="12"/>
        <v>0</v>
      </c>
      <c r="J84" s="267">
        <f>E84-G84</f>
        <v>1800</v>
      </c>
      <c r="K84" s="380"/>
    </row>
    <row r="85" spans="1:11" s="341" customFormat="1" ht="30.75" customHeight="1">
      <c r="A85" s="136">
        <v>26</v>
      </c>
      <c r="B85" s="435" t="s">
        <v>354</v>
      </c>
      <c r="C85" s="427"/>
      <c r="D85" s="433"/>
      <c r="E85" s="436">
        <v>30000</v>
      </c>
      <c r="F85" s="340">
        <v>30000</v>
      </c>
      <c r="G85" s="342">
        <v>30000</v>
      </c>
      <c r="H85" s="217">
        <f t="shared" si="6"/>
        <v>0</v>
      </c>
      <c r="I85" s="276">
        <f t="shared" si="7"/>
        <v>0</v>
      </c>
      <c r="J85" s="267">
        <f t="shared" si="8"/>
        <v>0</v>
      </c>
      <c r="K85" s="380"/>
    </row>
    <row r="86" spans="1:11" ht="18" customHeight="1">
      <c r="A86" s="188"/>
      <c r="B86" s="527" t="s">
        <v>8</v>
      </c>
      <c r="C86" s="528"/>
      <c r="D86" s="189" t="s">
        <v>9</v>
      </c>
      <c r="E86" s="190">
        <f>SUM(E62:E85)</f>
        <v>4087291.8499999996</v>
      </c>
      <c r="F86" s="217"/>
      <c r="G86" s="215"/>
      <c r="H86" s="217"/>
      <c r="I86" s="215"/>
      <c r="K86" s="380"/>
    </row>
    <row r="87" spans="1:11" s="158" customFormat="1" ht="11.25" customHeight="1">
      <c r="A87" s="155"/>
      <c r="B87" s="156"/>
      <c r="C87" s="157"/>
      <c r="D87" s="154"/>
      <c r="E87" s="154"/>
      <c r="F87" s="209"/>
      <c r="G87" s="210"/>
      <c r="H87" s="217"/>
      <c r="I87" s="210"/>
      <c r="J87" s="256"/>
      <c r="K87" s="380"/>
    </row>
    <row r="88" spans="1:11" s="139" customFormat="1" ht="11.25" customHeight="1">
      <c r="A88" s="517" t="s">
        <v>363</v>
      </c>
      <c r="B88" s="517"/>
      <c r="C88" s="517"/>
      <c r="D88" s="517"/>
      <c r="E88" s="517"/>
      <c r="F88" s="221"/>
      <c r="G88" s="221"/>
      <c r="H88" s="217"/>
      <c r="I88" s="221"/>
      <c r="J88" s="264"/>
      <c r="K88" s="380"/>
    </row>
    <row r="89" spans="1:11" s="48" customFormat="1" ht="12" customHeight="1">
      <c r="A89" s="53"/>
      <c r="B89" s="53"/>
      <c r="C89" s="53"/>
      <c r="D89" s="53"/>
      <c r="E89" s="53"/>
      <c r="F89" s="204"/>
      <c r="G89" s="205"/>
      <c r="H89" s="217"/>
      <c r="I89" s="205"/>
      <c r="J89" s="266"/>
      <c r="K89" s="380"/>
    </row>
    <row r="90" spans="1:11" ht="24" customHeight="1">
      <c r="A90" s="149" t="s">
        <v>211</v>
      </c>
      <c r="B90" s="522" t="s">
        <v>11</v>
      </c>
      <c r="C90" s="523"/>
      <c r="D90" s="149" t="s">
        <v>232</v>
      </c>
      <c r="E90" s="148" t="s">
        <v>233</v>
      </c>
      <c r="F90" s="212" t="s">
        <v>48</v>
      </c>
      <c r="G90" s="213" t="s">
        <v>49</v>
      </c>
      <c r="H90" s="217"/>
      <c r="I90" s="213"/>
      <c r="K90" s="380"/>
    </row>
    <row r="91" spans="1:11" s="54" customFormat="1" ht="12.75">
      <c r="A91" s="93">
        <v>1</v>
      </c>
      <c r="B91" s="508">
        <v>2</v>
      </c>
      <c r="C91" s="524"/>
      <c r="D91" s="44">
        <v>3</v>
      </c>
      <c r="E91" s="125">
        <v>4</v>
      </c>
      <c r="F91" s="214"/>
      <c r="G91" s="215"/>
      <c r="H91" s="217"/>
      <c r="I91" s="215"/>
      <c r="J91" s="256"/>
      <c r="K91" s="380"/>
    </row>
    <row r="92" spans="1:11" s="341" customFormat="1" ht="14.25" customHeight="1">
      <c r="A92" s="344">
        <v>1</v>
      </c>
      <c r="B92" s="360" t="s">
        <v>250</v>
      </c>
      <c r="C92" s="361"/>
      <c r="D92" s="338"/>
      <c r="E92" s="345"/>
      <c r="F92" s="340"/>
      <c r="G92" s="340"/>
      <c r="H92" s="217">
        <f>E92-F92</f>
        <v>0</v>
      </c>
      <c r="I92" s="340"/>
      <c r="J92" s="340">
        <f>E92-F92</f>
        <v>0</v>
      </c>
      <c r="K92" s="380"/>
    </row>
    <row r="93" spans="1:11" s="341" customFormat="1" ht="14.25" customHeight="1">
      <c r="A93" s="344">
        <v>2</v>
      </c>
      <c r="B93" s="543" t="s">
        <v>8</v>
      </c>
      <c r="C93" s="544"/>
      <c r="D93" s="338"/>
      <c r="E93" s="362">
        <f>E92</f>
        <v>0</v>
      </c>
      <c r="F93" s="340"/>
      <c r="G93" s="340"/>
      <c r="H93" s="217">
        <f>E93-F93</f>
        <v>0</v>
      </c>
      <c r="I93" s="340"/>
      <c r="J93" s="340">
        <f>E93-F93</f>
        <v>0</v>
      </c>
      <c r="K93" s="380"/>
    </row>
    <row r="94" spans="3:10" s="50" customFormat="1" ht="15.75">
      <c r="C94" s="55"/>
      <c r="D94" s="55"/>
      <c r="F94" s="222"/>
      <c r="G94" s="223"/>
      <c r="H94" s="219">
        <f>SUM(H25:H92)</f>
        <v>224742.84999999998</v>
      </c>
      <c r="I94" s="219">
        <f>SUM(I25:I92)</f>
        <v>1778383.44</v>
      </c>
      <c r="J94" s="219">
        <f>SUM(J25:J92)</f>
        <v>2003126.2900000003</v>
      </c>
    </row>
    <row r="95" spans="3:10" s="50" customFormat="1" ht="15.75">
      <c r="C95" s="55"/>
      <c r="D95" s="55"/>
      <c r="F95" s="222"/>
      <c r="G95" s="223"/>
      <c r="H95" s="219"/>
      <c r="I95" s="223"/>
      <c r="J95" s="268"/>
    </row>
  </sheetData>
  <sheetProtection/>
  <mergeCells count="57">
    <mergeCell ref="B76:C76"/>
    <mergeCell ref="B72:C72"/>
    <mergeCell ref="B71:C71"/>
    <mergeCell ref="B81:C81"/>
    <mergeCell ref="B79:C79"/>
    <mergeCell ref="B67:C67"/>
    <mergeCell ref="B77:C77"/>
    <mergeCell ref="B78:C78"/>
    <mergeCell ref="B75:C75"/>
    <mergeCell ref="B42:C42"/>
    <mergeCell ref="C17:E17"/>
    <mergeCell ref="B44:C44"/>
    <mergeCell ref="B41:C41"/>
    <mergeCell ref="B35:C35"/>
    <mergeCell ref="A21:E21"/>
    <mergeCell ref="A38:E38"/>
    <mergeCell ref="B43:C43"/>
    <mergeCell ref="B47:C47"/>
    <mergeCell ref="B49:C49"/>
    <mergeCell ref="A58:E58"/>
    <mergeCell ref="B68:C68"/>
    <mergeCell ref="B65:C65"/>
    <mergeCell ref="B60:C60"/>
    <mergeCell ref="B61:C61"/>
    <mergeCell ref="B52:C52"/>
    <mergeCell ref="B53:C53"/>
    <mergeCell ref="B54:C54"/>
    <mergeCell ref="B93:C93"/>
    <mergeCell ref="B70:C70"/>
    <mergeCell ref="B90:C90"/>
    <mergeCell ref="A88:E88"/>
    <mergeCell ref="B86:C86"/>
    <mergeCell ref="B69:C69"/>
    <mergeCell ref="B80:C80"/>
    <mergeCell ref="B82:C82"/>
    <mergeCell ref="B91:C91"/>
    <mergeCell ref="B83:C83"/>
    <mergeCell ref="B56:C56"/>
    <mergeCell ref="A1:E1"/>
    <mergeCell ref="C3:E3"/>
    <mergeCell ref="C5:E5"/>
    <mergeCell ref="A7:E7"/>
    <mergeCell ref="B40:C40"/>
    <mergeCell ref="A15:E15"/>
    <mergeCell ref="C19:E19"/>
    <mergeCell ref="A30:E30"/>
    <mergeCell ref="B45:C45"/>
    <mergeCell ref="B48:C48"/>
    <mergeCell ref="B55:C55"/>
    <mergeCell ref="B84:C84"/>
    <mergeCell ref="B46:C46"/>
    <mergeCell ref="B64:C64"/>
    <mergeCell ref="B62:C62"/>
    <mergeCell ref="B66:C66"/>
    <mergeCell ref="B63:C63"/>
    <mergeCell ref="B50:C50"/>
    <mergeCell ref="B51:C51"/>
  </mergeCells>
  <printOptions/>
  <pageMargins left="1.5748031496062993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rowBreaks count="2" manualBreakCount="2">
    <brk id="56" max="4" man="1"/>
    <brk id="94" max="4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151"/>
  <sheetViews>
    <sheetView tabSelected="1" view="pageBreakPreview" zoomScaleSheetLayoutView="100" zoomScalePageLayoutView="0" workbookViewId="0" topLeftCell="A51">
      <selection activeCell="A58" sqref="A58:E58"/>
    </sheetView>
  </sheetViews>
  <sheetFormatPr defaultColWidth="1.12109375" defaultRowHeight="12.75"/>
  <cols>
    <col min="1" max="1" width="4.00390625" style="54" customWidth="1"/>
    <col min="2" max="2" width="40.625" style="49" customWidth="1"/>
    <col min="3" max="3" width="12.125" style="49" customWidth="1"/>
    <col min="4" max="4" width="13.875" style="49" customWidth="1"/>
    <col min="5" max="5" width="37.375" style="49" customWidth="1"/>
    <col min="6" max="6" width="13.25390625" style="239" customWidth="1"/>
    <col min="7" max="7" width="10.625" style="239" customWidth="1"/>
    <col min="8" max="9" width="13.375" style="239" customWidth="1"/>
    <col min="10" max="10" width="22.00390625" style="271" customWidth="1"/>
    <col min="11" max="11" width="12.375" style="211" customWidth="1"/>
    <col min="12" max="13" width="10.625" style="211" customWidth="1"/>
    <col min="14" max="20" width="10.625" style="49" customWidth="1"/>
    <col min="21" max="21" width="6.75390625" style="49" customWidth="1"/>
    <col min="22" max="22" width="9.375" style="49" customWidth="1"/>
    <col min="23" max="28" width="16.125" style="49" customWidth="1"/>
    <col min="29" max="16384" width="1.12109375" style="49" customWidth="1"/>
  </cols>
  <sheetData>
    <row r="1" spans="1:13" s="47" customFormat="1" ht="15.75">
      <c r="A1" s="514" t="s">
        <v>364</v>
      </c>
      <c r="B1" s="514"/>
      <c r="C1" s="514"/>
      <c r="D1" s="514"/>
      <c r="E1" s="529"/>
      <c r="F1" s="202"/>
      <c r="G1" s="202"/>
      <c r="H1" s="202"/>
      <c r="I1" s="202"/>
      <c r="J1" s="269"/>
      <c r="K1" s="203"/>
      <c r="L1" s="203"/>
      <c r="M1" s="203"/>
    </row>
    <row r="2" spans="1:13" s="48" customFormat="1" ht="15.75">
      <c r="A2" s="519" t="s">
        <v>244</v>
      </c>
      <c r="B2" s="519"/>
      <c r="C2" s="519"/>
      <c r="D2" s="519"/>
      <c r="E2" s="519"/>
      <c r="F2" s="226"/>
      <c r="G2" s="226"/>
      <c r="H2" s="226"/>
      <c r="I2" s="226"/>
      <c r="J2" s="270"/>
      <c r="K2" s="206"/>
      <c r="L2" s="206"/>
      <c r="M2" s="206"/>
    </row>
    <row r="3" spans="1:10" ht="63">
      <c r="A3" s="149" t="s">
        <v>211</v>
      </c>
      <c r="B3" s="149" t="s">
        <v>11</v>
      </c>
      <c r="C3" s="149" t="s">
        <v>12</v>
      </c>
      <c r="D3" s="149" t="s">
        <v>247</v>
      </c>
      <c r="E3" s="149" t="s">
        <v>243</v>
      </c>
      <c r="F3" s="403" t="s">
        <v>48</v>
      </c>
      <c r="G3" s="403" t="s">
        <v>49</v>
      </c>
      <c r="H3" s="405" t="s">
        <v>340</v>
      </c>
      <c r="I3" s="405" t="s">
        <v>343</v>
      </c>
      <c r="J3" s="269" t="s">
        <v>342</v>
      </c>
    </row>
    <row r="4" spans="1:9" ht="12.75">
      <c r="A4" s="93"/>
      <c r="B4" s="93">
        <v>1</v>
      </c>
      <c r="C4" s="93">
        <v>2</v>
      </c>
      <c r="D4" s="93">
        <v>3</v>
      </c>
      <c r="E4" s="93">
        <v>4</v>
      </c>
      <c r="F4" s="218"/>
      <c r="G4" s="218"/>
      <c r="H4" s="218"/>
      <c r="I4" s="276"/>
    </row>
    <row r="5" spans="1:11" s="392" customFormat="1" ht="25.5">
      <c r="A5" s="385">
        <v>1</v>
      </c>
      <c r="B5" s="358" t="s">
        <v>397</v>
      </c>
      <c r="C5" s="386"/>
      <c r="D5" s="387"/>
      <c r="E5" s="388">
        <f>2270000-30000-40000+4831.07-6285-266526-255986</f>
        <v>1676034.0699999998</v>
      </c>
      <c r="F5" s="389"/>
      <c r="G5" s="389"/>
      <c r="H5" s="389">
        <f aca="true" t="shared" si="0" ref="H5:I9">E5-F5</f>
        <v>1676034.0699999998</v>
      </c>
      <c r="I5" s="389">
        <f t="shared" si="0"/>
        <v>0</v>
      </c>
      <c r="J5" s="390">
        <f aca="true" t="shared" si="1" ref="J5:J10">E5-G5</f>
        <v>1676034.0699999998</v>
      </c>
      <c r="K5" s="391"/>
    </row>
    <row r="6" spans="1:11" s="392" customFormat="1" ht="12.75">
      <c r="A6" s="385">
        <v>2</v>
      </c>
      <c r="B6" s="358" t="s">
        <v>435</v>
      </c>
      <c r="C6" s="386"/>
      <c r="D6" s="387"/>
      <c r="E6" s="388">
        <f>266526+255986</f>
        <v>522512</v>
      </c>
      <c r="F6" s="389"/>
      <c r="G6" s="389"/>
      <c r="H6" s="389">
        <f>E6-F6</f>
        <v>522512</v>
      </c>
      <c r="I6" s="389">
        <f>F6-G6</f>
        <v>0</v>
      </c>
      <c r="J6" s="390">
        <f t="shared" si="1"/>
        <v>522512</v>
      </c>
      <c r="K6" s="391"/>
    </row>
    <row r="7" spans="1:11" s="392" customFormat="1" ht="12.75">
      <c r="A7" s="385">
        <v>3</v>
      </c>
      <c r="B7" s="358" t="s">
        <v>389</v>
      </c>
      <c r="C7" s="386"/>
      <c r="D7" s="387"/>
      <c r="E7" s="388"/>
      <c r="F7" s="389"/>
      <c r="G7" s="389"/>
      <c r="H7" s="389">
        <f t="shared" si="0"/>
        <v>0</v>
      </c>
      <c r="I7" s="389">
        <f t="shared" si="0"/>
        <v>0</v>
      </c>
      <c r="J7" s="390">
        <f t="shared" si="1"/>
        <v>0</v>
      </c>
      <c r="K7" s="391"/>
    </row>
    <row r="8" spans="1:11" s="51" customFormat="1" ht="12.75">
      <c r="A8" s="136">
        <v>4</v>
      </c>
      <c r="B8" s="411" t="s">
        <v>404</v>
      </c>
      <c r="C8" s="412"/>
      <c r="D8" s="413"/>
      <c r="E8" s="414">
        <v>8850</v>
      </c>
      <c r="F8" s="415">
        <v>8850</v>
      </c>
      <c r="G8" s="415">
        <v>8850</v>
      </c>
      <c r="H8" s="415">
        <f t="shared" si="0"/>
        <v>0</v>
      </c>
      <c r="I8" s="415">
        <f t="shared" si="0"/>
        <v>0</v>
      </c>
      <c r="J8" s="416">
        <f t="shared" si="1"/>
        <v>0</v>
      </c>
      <c r="K8" s="417"/>
    </row>
    <row r="9" spans="1:11" s="392" customFormat="1" ht="25.5">
      <c r="A9" s="385">
        <v>5</v>
      </c>
      <c r="B9" s="411" t="s">
        <v>424</v>
      </c>
      <c r="C9" s="386"/>
      <c r="D9" s="387"/>
      <c r="E9" s="414">
        <v>408275.1</v>
      </c>
      <c r="F9" s="389">
        <f>408275.1</f>
        <v>408275.1</v>
      </c>
      <c r="G9" s="389">
        <f>408275.1</f>
        <v>408275.1</v>
      </c>
      <c r="H9" s="389">
        <f t="shared" si="0"/>
        <v>0</v>
      </c>
      <c r="I9" s="389">
        <f t="shared" si="0"/>
        <v>0</v>
      </c>
      <c r="J9" s="390">
        <f t="shared" si="1"/>
        <v>0</v>
      </c>
      <c r="K9" s="391"/>
    </row>
    <row r="10" spans="1:11" s="392" customFormat="1" ht="25.5">
      <c r="A10" s="385">
        <v>6</v>
      </c>
      <c r="B10" s="411" t="s">
        <v>425</v>
      </c>
      <c r="C10" s="386"/>
      <c r="D10" s="387"/>
      <c r="E10" s="414">
        <f>126256-7554-570</f>
        <v>118132</v>
      </c>
      <c r="F10" s="389">
        <f>72900+29150</f>
        <v>102050</v>
      </c>
      <c r="G10" s="389">
        <f>72900+29150</f>
        <v>102050</v>
      </c>
      <c r="H10" s="389">
        <f>E10-F10</f>
        <v>16082</v>
      </c>
      <c r="I10" s="389">
        <f>F10-G10</f>
        <v>0</v>
      </c>
      <c r="J10" s="390">
        <f t="shared" si="1"/>
        <v>16082</v>
      </c>
      <c r="K10" s="391"/>
    </row>
    <row r="11" spans="1:11" ht="12.75">
      <c r="A11" s="178"/>
      <c r="B11" s="179" t="s">
        <v>8</v>
      </c>
      <c r="C11" s="180" t="s">
        <v>9</v>
      </c>
      <c r="D11" s="181" t="s">
        <v>9</v>
      </c>
      <c r="E11" s="182">
        <f>SUM(E5:E10)</f>
        <v>2733803.17</v>
      </c>
      <c r="F11" s="218"/>
      <c r="G11" s="218"/>
      <c r="H11" s="389"/>
      <c r="I11" s="389"/>
      <c r="J11" s="390"/>
      <c r="K11" s="381"/>
    </row>
    <row r="12" spans="6:11" ht="12.75">
      <c r="F12" s="228"/>
      <c r="G12" s="228"/>
      <c r="H12" s="389"/>
      <c r="I12" s="389"/>
      <c r="J12" s="390"/>
      <c r="K12" s="381"/>
    </row>
    <row r="13" spans="1:13" s="47" customFormat="1" ht="30" customHeight="1">
      <c r="A13" s="554" t="s">
        <v>405</v>
      </c>
      <c r="B13" s="554"/>
      <c r="C13" s="554"/>
      <c r="D13" s="554"/>
      <c r="E13" s="554"/>
      <c r="F13" s="229"/>
      <c r="G13" s="229"/>
      <c r="H13" s="389"/>
      <c r="I13" s="389"/>
      <c r="J13" s="390"/>
      <c r="K13" s="381"/>
      <c r="L13" s="203"/>
      <c r="M13" s="203"/>
    </row>
    <row r="14" spans="1:13" s="48" customFormat="1" ht="15.75">
      <c r="A14" s="556" t="s">
        <v>407</v>
      </c>
      <c r="B14" s="556"/>
      <c r="C14" s="556"/>
      <c r="D14" s="556"/>
      <c r="E14" s="556"/>
      <c r="F14" s="226"/>
      <c r="G14" s="226"/>
      <c r="H14" s="389"/>
      <c r="I14" s="389"/>
      <c r="J14" s="390"/>
      <c r="K14" s="381"/>
      <c r="L14" s="206"/>
      <c r="M14" s="206"/>
    </row>
    <row r="15" spans="1:11" ht="25.5">
      <c r="A15" s="149" t="s">
        <v>211</v>
      </c>
      <c r="B15" s="149" t="s">
        <v>11</v>
      </c>
      <c r="C15" s="149" t="s">
        <v>12</v>
      </c>
      <c r="D15" s="149" t="s">
        <v>247</v>
      </c>
      <c r="E15" s="149" t="s">
        <v>243</v>
      </c>
      <c r="F15" s="213" t="s">
        <v>48</v>
      </c>
      <c r="G15" s="213" t="s">
        <v>49</v>
      </c>
      <c r="H15" s="389"/>
      <c r="I15" s="389"/>
      <c r="J15" s="390"/>
      <c r="K15" s="381"/>
    </row>
    <row r="16" spans="1:11" ht="12.75">
      <c r="A16" s="93"/>
      <c r="B16" s="161">
        <v>1</v>
      </c>
      <c r="C16" s="93">
        <v>2</v>
      </c>
      <c r="D16" s="93">
        <v>3</v>
      </c>
      <c r="E16" s="93">
        <v>4</v>
      </c>
      <c r="F16" s="276"/>
      <c r="G16" s="276"/>
      <c r="H16" s="389"/>
      <c r="I16" s="389"/>
      <c r="J16" s="390"/>
      <c r="K16" s="381"/>
    </row>
    <row r="17" spans="1:11" s="346" customFormat="1" ht="17.25" customHeight="1">
      <c r="A17" s="385">
        <v>1</v>
      </c>
      <c r="B17" s="376" t="s">
        <v>406</v>
      </c>
      <c r="C17" s="386"/>
      <c r="D17" s="387"/>
      <c r="E17" s="437">
        <f>820+7554+570</f>
        <v>8944</v>
      </c>
      <c r="F17" s="340">
        <f>820+7554+570</f>
        <v>8944</v>
      </c>
      <c r="G17" s="340">
        <f>820+7554+570</f>
        <v>8944</v>
      </c>
      <c r="H17" s="389">
        <f>E17-F17</f>
        <v>0</v>
      </c>
      <c r="I17" s="389">
        <f>F17-G17</f>
        <v>0</v>
      </c>
      <c r="J17" s="390">
        <f>E17-G17</f>
        <v>0</v>
      </c>
      <c r="K17" s="381"/>
    </row>
    <row r="18" spans="1:13" s="158" customFormat="1" ht="12.75" customHeight="1" hidden="1">
      <c r="A18" s="159"/>
      <c r="B18" s="162"/>
      <c r="C18" s="159"/>
      <c r="D18" s="166"/>
      <c r="E18" s="141">
        <f>C18*D18</f>
        <v>0</v>
      </c>
      <c r="F18" s="276"/>
      <c r="G18" s="276"/>
      <c r="H18" s="389"/>
      <c r="I18" s="389"/>
      <c r="J18" s="390">
        <f>E18-G18</f>
        <v>0</v>
      </c>
      <c r="K18" s="381"/>
      <c r="L18" s="211"/>
      <c r="M18" s="211"/>
    </row>
    <row r="19" spans="1:13" s="163" customFormat="1" ht="12.75">
      <c r="A19" s="183"/>
      <c r="B19" s="184" t="s">
        <v>8</v>
      </c>
      <c r="C19" s="185" t="s">
        <v>9</v>
      </c>
      <c r="D19" s="186" t="s">
        <v>9</v>
      </c>
      <c r="E19" s="187">
        <f>SUM(E17:E17)</f>
        <v>8944</v>
      </c>
      <c r="F19" s="230" t="s">
        <v>246</v>
      </c>
      <c r="G19" s="276"/>
      <c r="H19" s="389"/>
      <c r="I19" s="389"/>
      <c r="J19" s="390"/>
      <c r="K19" s="381"/>
      <c r="L19" s="227"/>
      <c r="M19" s="227"/>
    </row>
    <row r="20" spans="6:11" ht="12.75">
      <c r="F20" s="228"/>
      <c r="G20" s="228"/>
      <c r="H20" s="389"/>
      <c r="I20" s="389"/>
      <c r="J20" s="390"/>
      <c r="K20" s="381"/>
    </row>
    <row r="21" spans="1:13" s="47" customFormat="1" ht="15.75">
      <c r="A21" s="555" t="s">
        <v>399</v>
      </c>
      <c r="B21" s="555"/>
      <c r="C21" s="555"/>
      <c r="D21" s="555"/>
      <c r="E21" s="555"/>
      <c r="F21" s="229"/>
      <c r="G21" s="229"/>
      <c r="H21" s="389"/>
      <c r="I21" s="389"/>
      <c r="J21" s="390"/>
      <c r="K21" s="381"/>
      <c r="L21" s="203"/>
      <c r="M21" s="203"/>
    </row>
    <row r="22" spans="1:13" s="48" customFormat="1" ht="15.75">
      <c r="A22" s="519" t="s">
        <v>393</v>
      </c>
      <c r="B22" s="519"/>
      <c r="C22" s="519"/>
      <c r="D22" s="519"/>
      <c r="E22" s="519"/>
      <c r="F22" s="226"/>
      <c r="G22" s="226"/>
      <c r="H22" s="389"/>
      <c r="I22" s="389"/>
      <c r="J22" s="390"/>
      <c r="K22" s="381"/>
      <c r="L22" s="206"/>
      <c r="M22" s="206"/>
    </row>
    <row r="23" spans="1:11" ht="25.5">
      <c r="A23" s="149" t="s">
        <v>211</v>
      </c>
      <c r="B23" s="149" t="s">
        <v>11</v>
      </c>
      <c r="C23" s="149" t="s">
        <v>12</v>
      </c>
      <c r="D23" s="149" t="s">
        <v>247</v>
      </c>
      <c r="E23" s="149" t="s">
        <v>243</v>
      </c>
      <c r="F23" s="213" t="s">
        <v>48</v>
      </c>
      <c r="G23" s="213" t="s">
        <v>49</v>
      </c>
      <c r="H23" s="389"/>
      <c r="I23" s="389"/>
      <c r="J23" s="390"/>
      <c r="K23" s="381"/>
    </row>
    <row r="24" spans="1:11" ht="12.75">
      <c r="A24" s="93"/>
      <c r="B24" s="161">
        <v>1</v>
      </c>
      <c r="C24" s="93">
        <v>2</v>
      </c>
      <c r="D24" s="93">
        <v>3</v>
      </c>
      <c r="E24" s="93">
        <v>4</v>
      </c>
      <c r="F24" s="276"/>
      <c r="G24" s="276"/>
      <c r="H24" s="389"/>
      <c r="I24" s="389"/>
      <c r="J24" s="390"/>
      <c r="K24" s="381"/>
    </row>
    <row r="25" spans="1:11" s="346" customFormat="1" ht="17.25" customHeight="1">
      <c r="A25" s="385">
        <v>1</v>
      </c>
      <c r="B25" s="376" t="s">
        <v>381</v>
      </c>
      <c r="C25" s="386"/>
      <c r="D25" s="387"/>
      <c r="E25" s="437">
        <f>25000-25000</f>
        <v>0</v>
      </c>
      <c r="F25" s="340"/>
      <c r="G25" s="340"/>
      <c r="H25" s="389">
        <f>E25-F25</f>
        <v>0</v>
      </c>
      <c r="I25" s="389">
        <f>F25-G25</f>
        <v>0</v>
      </c>
      <c r="J25" s="390">
        <f>E25-G25</f>
        <v>0</v>
      </c>
      <c r="K25" s="381"/>
    </row>
    <row r="26" spans="1:14" s="346" customFormat="1" ht="12.75" customHeight="1">
      <c r="A26" s="385"/>
      <c r="B26" s="376"/>
      <c r="C26" s="386"/>
      <c r="D26" s="387"/>
      <c r="E26" s="437"/>
      <c r="F26" s="340"/>
      <c r="G26" s="340"/>
      <c r="H26" s="389">
        <f>E26-F26</f>
        <v>0</v>
      </c>
      <c r="I26" s="389">
        <f>F26-G26</f>
        <v>0</v>
      </c>
      <c r="J26" s="390">
        <f>E26-G26</f>
        <v>0</v>
      </c>
      <c r="K26" s="381"/>
      <c r="L26" s="348"/>
      <c r="M26" s="348"/>
      <c r="N26" s="348"/>
    </row>
    <row r="27" spans="1:14" s="346" customFormat="1" ht="12" customHeight="1">
      <c r="A27" s="385"/>
      <c r="B27" s="376"/>
      <c r="C27" s="386"/>
      <c r="D27" s="387"/>
      <c r="E27" s="437"/>
      <c r="F27" s="340"/>
      <c r="G27" s="340"/>
      <c r="H27" s="389"/>
      <c r="I27" s="389"/>
      <c r="J27" s="390">
        <f>E27-G27</f>
        <v>0</v>
      </c>
      <c r="K27" s="381"/>
      <c r="L27" s="348"/>
      <c r="M27" s="348"/>
      <c r="N27" s="348"/>
    </row>
    <row r="28" spans="1:13" s="158" customFormat="1" ht="12.75" customHeight="1" hidden="1">
      <c r="A28" s="159"/>
      <c r="B28" s="162"/>
      <c r="C28" s="159"/>
      <c r="D28" s="166"/>
      <c r="E28" s="141">
        <f>C28*D28</f>
        <v>0</v>
      </c>
      <c r="F28" s="276"/>
      <c r="G28" s="276"/>
      <c r="H28" s="389"/>
      <c r="I28" s="389"/>
      <c r="J28" s="390">
        <f>E28-G28</f>
        <v>0</v>
      </c>
      <c r="K28" s="381"/>
      <c r="L28" s="211"/>
      <c r="M28" s="211"/>
    </row>
    <row r="29" spans="1:13" s="163" customFormat="1" ht="12.75">
      <c r="A29" s="183"/>
      <c r="B29" s="184" t="s">
        <v>8</v>
      </c>
      <c r="C29" s="185" t="s">
        <v>9</v>
      </c>
      <c r="D29" s="186" t="s">
        <v>9</v>
      </c>
      <c r="E29" s="187">
        <f>SUM(E25:E27)</f>
        <v>0</v>
      </c>
      <c r="F29" s="230" t="s">
        <v>246</v>
      </c>
      <c r="G29" s="276"/>
      <c r="H29" s="389"/>
      <c r="I29" s="389"/>
      <c r="J29" s="390"/>
      <c r="K29" s="381"/>
      <c r="L29" s="227"/>
      <c r="M29" s="227"/>
    </row>
    <row r="30" spans="6:11" ht="12.75">
      <c r="F30" s="228"/>
      <c r="G30" s="228"/>
      <c r="H30" s="389"/>
      <c r="I30" s="389"/>
      <c r="J30" s="390"/>
      <c r="K30" s="381"/>
    </row>
    <row r="31" spans="1:13" s="47" customFormat="1" ht="15.75">
      <c r="A31" s="555" t="s">
        <v>400</v>
      </c>
      <c r="B31" s="555"/>
      <c r="C31" s="555"/>
      <c r="D31" s="555"/>
      <c r="E31" s="555"/>
      <c r="F31" s="229"/>
      <c r="G31" s="229"/>
      <c r="H31" s="389"/>
      <c r="I31" s="389"/>
      <c r="J31" s="390"/>
      <c r="K31" s="381"/>
      <c r="L31" s="203"/>
      <c r="M31" s="203"/>
    </row>
    <row r="32" spans="1:13" s="48" customFormat="1" ht="15.75">
      <c r="A32" s="519" t="s">
        <v>305</v>
      </c>
      <c r="B32" s="519"/>
      <c r="C32" s="519"/>
      <c r="D32" s="519"/>
      <c r="E32" s="519"/>
      <c r="F32" s="226"/>
      <c r="G32" s="226"/>
      <c r="H32" s="389"/>
      <c r="I32" s="389"/>
      <c r="J32" s="390"/>
      <c r="K32" s="381"/>
      <c r="L32" s="206"/>
      <c r="M32" s="206"/>
    </row>
    <row r="33" spans="1:11" ht="25.5">
      <c r="A33" s="149" t="s">
        <v>211</v>
      </c>
      <c r="B33" s="149" t="s">
        <v>11</v>
      </c>
      <c r="C33" s="149" t="s">
        <v>12</v>
      </c>
      <c r="D33" s="149" t="s">
        <v>247</v>
      </c>
      <c r="E33" s="149" t="s">
        <v>243</v>
      </c>
      <c r="F33" s="213" t="s">
        <v>48</v>
      </c>
      <c r="G33" s="213" t="s">
        <v>49</v>
      </c>
      <c r="H33" s="389"/>
      <c r="I33" s="389"/>
      <c r="J33" s="390"/>
      <c r="K33" s="381"/>
    </row>
    <row r="34" spans="1:11" ht="12.75">
      <c r="A34" s="93"/>
      <c r="B34" s="161">
        <v>1</v>
      </c>
      <c r="C34" s="93">
        <v>2</v>
      </c>
      <c r="D34" s="93">
        <v>3</v>
      </c>
      <c r="E34" s="93">
        <v>4</v>
      </c>
      <c r="F34" s="276"/>
      <c r="G34" s="276"/>
      <c r="H34" s="389"/>
      <c r="I34" s="389"/>
      <c r="J34" s="390"/>
      <c r="K34" s="381"/>
    </row>
    <row r="35" spans="1:11" s="346" customFormat="1" ht="17.25" customHeight="1">
      <c r="A35" s="385">
        <v>1</v>
      </c>
      <c r="B35" s="376" t="s">
        <v>306</v>
      </c>
      <c r="C35" s="386"/>
      <c r="D35" s="387"/>
      <c r="E35" s="437">
        <f>173500-110000+34247.53+10000</f>
        <v>107747.53</v>
      </c>
      <c r="F35" s="340">
        <f>63500+34247</f>
        <v>97747</v>
      </c>
      <c r="G35" s="340">
        <f>63500+34247</f>
        <v>97747</v>
      </c>
      <c r="H35" s="389">
        <f>E35-F35</f>
        <v>10000.529999999999</v>
      </c>
      <c r="I35" s="389">
        <f>F35-G35</f>
        <v>0</v>
      </c>
      <c r="J35" s="390">
        <f>E35-G35</f>
        <v>10000.529999999999</v>
      </c>
      <c r="K35" s="381"/>
    </row>
    <row r="36" spans="1:14" s="346" customFormat="1" ht="12.75" customHeight="1">
      <c r="A36" s="385"/>
      <c r="B36" s="376"/>
      <c r="C36" s="386"/>
      <c r="D36" s="387"/>
      <c r="E36" s="437"/>
      <c r="F36" s="340"/>
      <c r="G36" s="340"/>
      <c r="H36" s="389">
        <f>E36-F36</f>
        <v>0</v>
      </c>
      <c r="I36" s="389">
        <f>F36-G36</f>
        <v>0</v>
      </c>
      <c r="J36" s="390">
        <f>E36-G36</f>
        <v>0</v>
      </c>
      <c r="K36" s="381"/>
      <c r="L36" s="348"/>
      <c r="M36" s="348"/>
      <c r="N36" s="348"/>
    </row>
    <row r="37" spans="1:14" s="346" customFormat="1" ht="12" customHeight="1">
      <c r="A37" s="385"/>
      <c r="B37" s="376"/>
      <c r="C37" s="386"/>
      <c r="D37" s="387"/>
      <c r="E37" s="437"/>
      <c r="F37" s="340"/>
      <c r="G37" s="340"/>
      <c r="H37" s="389"/>
      <c r="I37" s="389"/>
      <c r="J37" s="390">
        <f>E37-G37</f>
        <v>0</v>
      </c>
      <c r="K37" s="381"/>
      <c r="L37" s="348"/>
      <c r="M37" s="348"/>
      <c r="N37" s="348"/>
    </row>
    <row r="38" spans="1:13" s="158" customFormat="1" ht="12.75" customHeight="1" hidden="1">
      <c r="A38" s="159"/>
      <c r="B38" s="162"/>
      <c r="C38" s="159"/>
      <c r="D38" s="166"/>
      <c r="E38" s="141">
        <f>C38*D38</f>
        <v>0</v>
      </c>
      <c r="F38" s="276"/>
      <c r="G38" s="276"/>
      <c r="H38" s="389"/>
      <c r="I38" s="389"/>
      <c r="J38" s="390">
        <f>E38-G38</f>
        <v>0</v>
      </c>
      <c r="K38" s="381"/>
      <c r="L38" s="211"/>
      <c r="M38" s="211"/>
    </row>
    <row r="39" spans="1:13" s="163" customFormat="1" ht="12.75">
      <c r="A39" s="183"/>
      <c r="B39" s="184" t="s">
        <v>8</v>
      </c>
      <c r="C39" s="185" t="s">
        <v>9</v>
      </c>
      <c r="D39" s="186" t="s">
        <v>9</v>
      </c>
      <c r="E39" s="187">
        <f>SUM(E35:E37)</f>
        <v>107747.53</v>
      </c>
      <c r="F39" s="230" t="s">
        <v>246</v>
      </c>
      <c r="G39" s="276"/>
      <c r="H39" s="389"/>
      <c r="I39" s="389"/>
      <c r="J39" s="390"/>
      <c r="K39" s="381"/>
      <c r="L39" s="227"/>
      <c r="M39" s="227"/>
    </row>
    <row r="40" spans="1:13" s="47" customFormat="1" ht="15.75">
      <c r="A40" s="555" t="s">
        <v>401</v>
      </c>
      <c r="B40" s="555"/>
      <c r="C40" s="555"/>
      <c r="D40" s="555"/>
      <c r="E40" s="555"/>
      <c r="F40" s="229"/>
      <c r="G40" s="229"/>
      <c r="H40" s="389"/>
      <c r="I40" s="389"/>
      <c r="J40" s="390"/>
      <c r="K40" s="381"/>
      <c r="L40" s="203"/>
      <c r="M40" s="203"/>
    </row>
    <row r="41" spans="1:13" s="48" customFormat="1" ht="15.75">
      <c r="A41" s="519" t="s">
        <v>394</v>
      </c>
      <c r="B41" s="519"/>
      <c r="C41" s="519"/>
      <c r="D41" s="519"/>
      <c r="E41" s="519"/>
      <c r="F41" s="226"/>
      <c r="G41" s="226"/>
      <c r="H41" s="389"/>
      <c r="I41" s="389"/>
      <c r="J41" s="390"/>
      <c r="K41" s="381"/>
      <c r="L41" s="206"/>
      <c r="M41" s="206"/>
    </row>
    <row r="42" spans="1:11" ht="25.5">
      <c r="A42" s="149" t="s">
        <v>211</v>
      </c>
      <c r="B42" s="149" t="s">
        <v>11</v>
      </c>
      <c r="C42" s="149" t="s">
        <v>12</v>
      </c>
      <c r="D42" s="149" t="s">
        <v>247</v>
      </c>
      <c r="E42" s="149" t="s">
        <v>243</v>
      </c>
      <c r="F42" s="213" t="s">
        <v>48</v>
      </c>
      <c r="G42" s="213" t="s">
        <v>49</v>
      </c>
      <c r="H42" s="389"/>
      <c r="I42" s="389"/>
      <c r="J42" s="390"/>
      <c r="K42" s="381"/>
    </row>
    <row r="43" spans="1:11" ht="12.75">
      <c r="A43" s="93"/>
      <c r="B43" s="161">
        <v>1</v>
      </c>
      <c r="C43" s="93">
        <v>2</v>
      </c>
      <c r="D43" s="93">
        <v>3</v>
      </c>
      <c r="E43" s="93">
        <v>4</v>
      </c>
      <c r="F43" s="276"/>
      <c r="G43" s="276"/>
      <c r="H43" s="389"/>
      <c r="I43" s="389"/>
      <c r="J43" s="390"/>
      <c r="K43" s="381"/>
    </row>
    <row r="44" spans="1:11" s="346" customFormat="1" ht="17.25" customHeight="1">
      <c r="A44" s="385">
        <v>1</v>
      </c>
      <c r="B44" s="376" t="s">
        <v>386</v>
      </c>
      <c r="C44" s="386"/>
      <c r="D44" s="387"/>
      <c r="E44" s="437">
        <v>16700</v>
      </c>
      <c r="F44" s="340">
        <v>16700</v>
      </c>
      <c r="G44" s="340">
        <v>16700</v>
      </c>
      <c r="H44" s="389">
        <f>E44-F44</f>
        <v>0</v>
      </c>
      <c r="I44" s="389">
        <f>F44-G44</f>
        <v>0</v>
      </c>
      <c r="J44" s="390">
        <f>E44-G44</f>
        <v>0</v>
      </c>
      <c r="K44" s="381"/>
    </row>
    <row r="45" spans="1:14" s="346" customFormat="1" ht="12.75" customHeight="1">
      <c r="A45" s="385"/>
      <c r="B45" s="376"/>
      <c r="C45" s="386"/>
      <c r="D45" s="387"/>
      <c r="E45" s="437"/>
      <c r="F45" s="340"/>
      <c r="G45" s="340"/>
      <c r="H45" s="389">
        <f>E45-F45</f>
        <v>0</v>
      </c>
      <c r="I45" s="389">
        <f>F45-G45</f>
        <v>0</v>
      </c>
      <c r="J45" s="390">
        <f>E45-G45</f>
        <v>0</v>
      </c>
      <c r="K45" s="381"/>
      <c r="L45" s="348"/>
      <c r="M45" s="348"/>
      <c r="N45" s="348"/>
    </row>
    <row r="46" spans="1:14" s="346" customFormat="1" ht="12" customHeight="1">
      <c r="A46" s="385"/>
      <c r="B46" s="376"/>
      <c r="C46" s="386"/>
      <c r="D46" s="387"/>
      <c r="E46" s="437"/>
      <c r="F46" s="340"/>
      <c r="G46" s="340"/>
      <c r="H46" s="389"/>
      <c r="I46" s="389"/>
      <c r="J46" s="390">
        <f>E46-G46</f>
        <v>0</v>
      </c>
      <c r="K46" s="381"/>
      <c r="L46" s="348"/>
      <c r="M46" s="348"/>
      <c r="N46" s="348"/>
    </row>
    <row r="47" spans="1:13" s="158" customFormat="1" ht="12.75" customHeight="1" hidden="1">
      <c r="A47" s="159"/>
      <c r="B47" s="162"/>
      <c r="C47" s="159"/>
      <c r="D47" s="166"/>
      <c r="E47" s="141">
        <f>C47*D47</f>
        <v>0</v>
      </c>
      <c r="F47" s="276"/>
      <c r="G47" s="276"/>
      <c r="H47" s="389"/>
      <c r="I47" s="389"/>
      <c r="J47" s="390">
        <f>E47-G47</f>
        <v>0</v>
      </c>
      <c r="K47" s="381"/>
      <c r="L47" s="211"/>
      <c r="M47" s="211"/>
    </row>
    <row r="48" spans="1:13" s="163" customFormat="1" ht="12.75">
      <c r="A48" s="183"/>
      <c r="B48" s="184" t="s">
        <v>8</v>
      </c>
      <c r="C48" s="185" t="s">
        <v>9</v>
      </c>
      <c r="D48" s="186" t="s">
        <v>9</v>
      </c>
      <c r="E48" s="187">
        <f>SUM(E44:E46)</f>
        <v>16700</v>
      </c>
      <c r="F48" s="230" t="s">
        <v>246</v>
      </c>
      <c r="G48" s="276"/>
      <c r="H48" s="389"/>
      <c r="I48" s="389"/>
      <c r="J48" s="390"/>
      <c r="K48" s="381"/>
      <c r="L48" s="227"/>
      <c r="M48" s="227"/>
    </row>
    <row r="49" spans="1:13" s="47" customFormat="1" ht="15.75">
      <c r="A49" s="555" t="s">
        <v>402</v>
      </c>
      <c r="B49" s="555"/>
      <c r="C49" s="555"/>
      <c r="D49" s="555"/>
      <c r="E49" s="555"/>
      <c r="F49" s="229"/>
      <c r="G49" s="229"/>
      <c r="H49" s="389"/>
      <c r="I49" s="389"/>
      <c r="J49" s="390"/>
      <c r="K49" s="381"/>
      <c r="L49" s="203"/>
      <c r="M49" s="203"/>
    </row>
    <row r="50" spans="1:13" s="48" customFormat="1" ht="15.75">
      <c r="A50" s="519" t="s">
        <v>294</v>
      </c>
      <c r="B50" s="519"/>
      <c r="C50" s="519"/>
      <c r="D50" s="519"/>
      <c r="E50" s="519"/>
      <c r="F50" s="226"/>
      <c r="G50" s="226"/>
      <c r="H50" s="389"/>
      <c r="I50" s="389"/>
      <c r="J50" s="390"/>
      <c r="K50" s="381"/>
      <c r="L50" s="206"/>
      <c r="M50" s="206"/>
    </row>
    <row r="51" spans="1:11" ht="25.5">
      <c r="A51" s="149" t="s">
        <v>211</v>
      </c>
      <c r="B51" s="149" t="s">
        <v>11</v>
      </c>
      <c r="C51" s="149" t="s">
        <v>12</v>
      </c>
      <c r="D51" s="149" t="s">
        <v>247</v>
      </c>
      <c r="E51" s="149" t="s">
        <v>243</v>
      </c>
      <c r="F51" s="213" t="s">
        <v>48</v>
      </c>
      <c r="G51" s="213" t="s">
        <v>49</v>
      </c>
      <c r="H51" s="389"/>
      <c r="I51" s="389"/>
      <c r="J51" s="390"/>
      <c r="K51" s="381"/>
    </row>
    <row r="52" spans="1:11" ht="12.75">
      <c r="A52" s="93"/>
      <c r="B52" s="161">
        <v>1</v>
      </c>
      <c r="C52" s="93">
        <v>2</v>
      </c>
      <c r="D52" s="93">
        <v>3</v>
      </c>
      <c r="E52" s="93">
        <v>4</v>
      </c>
      <c r="F52" s="218"/>
      <c r="G52" s="218"/>
      <c r="H52" s="389"/>
      <c r="I52" s="389"/>
      <c r="J52" s="390"/>
      <c r="K52" s="381"/>
    </row>
    <row r="53" spans="1:11" s="346" customFormat="1" ht="17.25" customHeight="1">
      <c r="A53" s="385">
        <v>1</v>
      </c>
      <c r="B53" s="376" t="s">
        <v>36</v>
      </c>
      <c r="C53" s="386">
        <v>0</v>
      </c>
      <c r="D53" s="387">
        <v>0</v>
      </c>
      <c r="E53" s="437">
        <f>45000+20000</f>
        <v>65000</v>
      </c>
      <c r="F53" s="340">
        <f>14728+16500+10410+3085</f>
        <v>44723</v>
      </c>
      <c r="G53" s="340">
        <f>14728+16500+10410+3085</f>
        <v>44723</v>
      </c>
      <c r="H53" s="389">
        <f aca="true" t="shared" si="2" ref="H53:I55">E53-F53</f>
        <v>20277</v>
      </c>
      <c r="I53" s="389">
        <f t="shared" si="2"/>
        <v>0</v>
      </c>
      <c r="J53" s="390">
        <f>E53-G53</f>
        <v>20277</v>
      </c>
      <c r="K53" s="381"/>
    </row>
    <row r="54" spans="1:14" s="346" customFormat="1" ht="30" customHeight="1">
      <c r="A54" s="385">
        <v>2</v>
      </c>
      <c r="B54" s="376" t="s">
        <v>331</v>
      </c>
      <c r="C54" s="386">
        <v>0</v>
      </c>
      <c r="D54" s="387">
        <v>0</v>
      </c>
      <c r="E54" s="437">
        <v>39300</v>
      </c>
      <c r="F54" s="340">
        <f>11046+21276</f>
        <v>32322</v>
      </c>
      <c r="G54" s="340">
        <f>11046+21276</f>
        <v>32322</v>
      </c>
      <c r="H54" s="389">
        <f t="shared" si="2"/>
        <v>6978</v>
      </c>
      <c r="I54" s="389">
        <f t="shared" si="2"/>
        <v>0</v>
      </c>
      <c r="J54" s="390">
        <f>E54-G54</f>
        <v>6978</v>
      </c>
      <c r="K54" s="381"/>
      <c r="L54" s="348"/>
      <c r="M54" s="348"/>
      <c r="N54" s="348"/>
    </row>
    <row r="55" spans="1:14" s="346" customFormat="1" ht="15.75" customHeight="1">
      <c r="A55" s="385">
        <v>3</v>
      </c>
      <c r="B55" s="376" t="s">
        <v>314</v>
      </c>
      <c r="C55" s="386">
        <v>0</v>
      </c>
      <c r="D55" s="387">
        <v>0</v>
      </c>
      <c r="E55" s="437">
        <f>35000-12171.39-9143.76-13684.85</f>
        <v>0</v>
      </c>
      <c r="F55" s="340"/>
      <c r="G55" s="340"/>
      <c r="H55" s="389">
        <f t="shared" si="2"/>
        <v>0</v>
      </c>
      <c r="I55" s="389">
        <f t="shared" si="2"/>
        <v>0</v>
      </c>
      <c r="J55" s="390">
        <f>E55-G55</f>
        <v>0</v>
      </c>
      <c r="K55" s="381"/>
      <c r="L55" s="348"/>
      <c r="M55" s="348"/>
      <c r="N55" s="348"/>
    </row>
    <row r="56" spans="1:14" s="346" customFormat="1" ht="27.75" customHeight="1">
      <c r="A56" s="385">
        <v>4</v>
      </c>
      <c r="B56" s="376" t="s">
        <v>438</v>
      </c>
      <c r="C56" s="386">
        <v>0</v>
      </c>
      <c r="D56" s="387">
        <v>0</v>
      </c>
      <c r="E56" s="437">
        <v>6400</v>
      </c>
      <c r="F56" s="340"/>
      <c r="G56" s="340"/>
      <c r="H56" s="389">
        <f>E56-F56</f>
        <v>6400</v>
      </c>
      <c r="I56" s="389">
        <f>F56-G56</f>
        <v>0</v>
      </c>
      <c r="J56" s="390">
        <f>E56-G56</f>
        <v>6400</v>
      </c>
      <c r="K56" s="381"/>
      <c r="L56" s="348"/>
      <c r="M56" s="348"/>
      <c r="N56" s="348"/>
    </row>
    <row r="57" spans="1:13" s="163" customFormat="1" ht="12.75">
      <c r="A57" s="183"/>
      <c r="B57" s="184" t="s">
        <v>8</v>
      </c>
      <c r="C57" s="185" t="s">
        <v>9</v>
      </c>
      <c r="D57" s="186" t="s">
        <v>9</v>
      </c>
      <c r="E57" s="187">
        <f>SUM(E53:E56)</f>
        <v>110700</v>
      </c>
      <c r="F57" s="230"/>
      <c r="G57" s="218"/>
      <c r="H57" s="389"/>
      <c r="I57" s="389"/>
      <c r="J57" s="272"/>
      <c r="K57" s="381"/>
      <c r="L57" s="227"/>
      <c r="M57" s="227"/>
    </row>
    <row r="58" spans="1:13" s="47" customFormat="1" ht="31.5" customHeight="1">
      <c r="A58" s="554" t="s">
        <v>403</v>
      </c>
      <c r="B58" s="554"/>
      <c r="C58" s="554"/>
      <c r="D58" s="554"/>
      <c r="E58" s="554"/>
      <c r="F58" s="229"/>
      <c r="G58" s="229"/>
      <c r="H58" s="389"/>
      <c r="I58" s="389"/>
      <c r="J58" s="274"/>
      <c r="K58" s="381"/>
      <c r="L58" s="203"/>
      <c r="M58" s="203"/>
    </row>
    <row r="59" spans="1:13" s="48" customFormat="1" ht="15.75">
      <c r="A59" s="519" t="s">
        <v>299</v>
      </c>
      <c r="B59" s="519"/>
      <c r="C59" s="519"/>
      <c r="D59" s="519"/>
      <c r="E59" s="519"/>
      <c r="F59" s="226"/>
      <c r="G59" s="226"/>
      <c r="H59" s="389"/>
      <c r="I59" s="389"/>
      <c r="J59" s="274"/>
      <c r="K59" s="381"/>
      <c r="L59" s="206"/>
      <c r="M59" s="206"/>
    </row>
    <row r="60" spans="1:11" ht="25.5">
      <c r="A60" s="149" t="s">
        <v>211</v>
      </c>
      <c r="B60" s="149" t="s">
        <v>11</v>
      </c>
      <c r="C60" s="149" t="s">
        <v>12</v>
      </c>
      <c r="D60" s="149" t="s">
        <v>247</v>
      </c>
      <c r="E60" s="149" t="s">
        <v>243</v>
      </c>
      <c r="F60" s="213" t="s">
        <v>48</v>
      </c>
      <c r="G60" s="213" t="s">
        <v>49</v>
      </c>
      <c r="H60" s="389"/>
      <c r="I60" s="389"/>
      <c r="J60" s="274"/>
      <c r="K60" s="381"/>
    </row>
    <row r="61" spans="1:11" ht="12.75">
      <c r="A61" s="93"/>
      <c r="B61" s="161">
        <v>1</v>
      </c>
      <c r="C61" s="93">
        <v>2</v>
      </c>
      <c r="D61" s="93">
        <v>3</v>
      </c>
      <c r="E61" s="93">
        <v>4</v>
      </c>
      <c r="F61" s="276"/>
      <c r="G61" s="276"/>
      <c r="H61" s="389"/>
      <c r="I61" s="389"/>
      <c r="J61" s="274"/>
      <c r="K61" s="381"/>
    </row>
    <row r="62" spans="1:11" s="346" customFormat="1" ht="24.75" customHeight="1">
      <c r="A62" s="385"/>
      <c r="B62" s="358" t="s">
        <v>418</v>
      </c>
      <c r="C62" s="386"/>
      <c r="D62" s="387"/>
      <c r="E62" s="388">
        <f>40000+2771</f>
        <v>42771</v>
      </c>
      <c r="F62" s="340">
        <f>42771</f>
        <v>42771</v>
      </c>
      <c r="G62" s="340">
        <f>42771</f>
        <v>42771</v>
      </c>
      <c r="H62" s="389">
        <f aca="true" t="shared" si="3" ref="H62:I64">E62-F62</f>
        <v>0</v>
      </c>
      <c r="I62" s="389">
        <f t="shared" si="3"/>
        <v>0</v>
      </c>
      <c r="J62" s="347"/>
      <c r="K62" s="381"/>
    </row>
    <row r="63" spans="1:14" s="346" customFormat="1" ht="30" customHeight="1">
      <c r="A63" s="385"/>
      <c r="B63" s="358" t="s">
        <v>419</v>
      </c>
      <c r="C63" s="386"/>
      <c r="D63" s="387"/>
      <c r="E63" s="388">
        <v>3514</v>
      </c>
      <c r="F63" s="340">
        <f>3038+476</f>
        <v>3514</v>
      </c>
      <c r="G63" s="340">
        <f>3038+476</f>
        <v>3514</v>
      </c>
      <c r="H63" s="389">
        <f t="shared" si="3"/>
        <v>0</v>
      </c>
      <c r="I63" s="389">
        <f t="shared" si="3"/>
        <v>0</v>
      </c>
      <c r="J63" s="347"/>
      <c r="K63" s="381"/>
      <c r="L63" s="348"/>
      <c r="M63" s="348"/>
      <c r="N63" s="348"/>
    </row>
    <row r="64" spans="1:14" s="346" customFormat="1" ht="30" customHeight="1">
      <c r="A64" s="385"/>
      <c r="B64" s="376" t="s">
        <v>420</v>
      </c>
      <c r="C64" s="386"/>
      <c r="D64" s="387"/>
      <c r="E64" s="437">
        <v>3720</v>
      </c>
      <c r="F64" s="340">
        <v>3720</v>
      </c>
      <c r="G64" s="340">
        <v>3720</v>
      </c>
      <c r="H64" s="389">
        <f t="shared" si="3"/>
        <v>0</v>
      </c>
      <c r="I64" s="389">
        <f t="shared" si="3"/>
        <v>0</v>
      </c>
      <c r="J64" s="347"/>
      <c r="K64" s="381"/>
      <c r="L64" s="348"/>
      <c r="M64" s="348"/>
      <c r="N64" s="348"/>
    </row>
    <row r="65" spans="1:13" s="163" customFormat="1" ht="13.5" thickBot="1">
      <c r="A65" s="183"/>
      <c r="B65" s="184" t="s">
        <v>8</v>
      </c>
      <c r="C65" s="185" t="s">
        <v>9</v>
      </c>
      <c r="D65" s="186" t="s">
        <v>9</v>
      </c>
      <c r="E65" s="187">
        <f>SUM(E62:E64)</f>
        <v>50005</v>
      </c>
      <c r="F65" s="230"/>
      <c r="G65" s="276"/>
      <c r="H65" s="389">
        <f>SUM(H5:H63)-H5--H7-H62</f>
        <v>582249.5299999998</v>
      </c>
      <c r="I65" s="389">
        <f>SUM(I5:I63)-I5--I7-I62</f>
        <v>0</v>
      </c>
      <c r="J65" s="389">
        <f>SUM(J5:J63)-J5--J7-J62</f>
        <v>582249.5299999998</v>
      </c>
      <c r="K65" s="227"/>
      <c r="L65" s="227"/>
      <c r="M65" s="227"/>
    </row>
    <row r="66" spans="1:23" ht="13.5" thickBot="1">
      <c r="A66" s="168" t="s">
        <v>150</v>
      </c>
      <c r="B66" s="169" t="s">
        <v>43</v>
      </c>
      <c r="C66" s="170"/>
      <c r="D66" s="171"/>
      <c r="E66" s="172">
        <f>Лист1!EO42+Лист2!F9+Лист2!F31+Лист3!E26++Лист3!E49+Лист4!E14+Лист4!E28+Лист4!E36+Лист4!E56+Лист4!E86+Лист4!E93+Лист5!E39+Лист5!E57+Лист5!E65+E11+E29+E48+E19</f>
        <v>48215881.28</v>
      </c>
      <c r="F66" s="231"/>
      <c r="G66" s="232"/>
      <c r="H66" s="389"/>
      <c r="I66" s="389"/>
      <c r="J66" s="273"/>
      <c r="K66" s="233"/>
      <c r="L66" s="233"/>
      <c r="M66" s="233"/>
      <c r="N66" s="164"/>
      <c r="O66" s="164"/>
      <c r="P66" s="164"/>
      <c r="Q66" s="164"/>
      <c r="R66" s="164"/>
      <c r="S66" s="164"/>
      <c r="T66" s="164"/>
      <c r="U66" s="164"/>
      <c r="V66" s="164"/>
      <c r="W66" s="165"/>
    </row>
    <row r="67" spans="1:23" ht="13.5" thickBot="1">
      <c r="A67" s="168"/>
      <c r="B67" s="169" t="s">
        <v>44</v>
      </c>
      <c r="C67" s="170"/>
      <c r="D67" s="171"/>
      <c r="E67" s="172">
        <f>Лист1!EO42+Лист2!F31+Лист5!E5+E7+E62+Лист4!E85+E63+E6</f>
        <v>40185557.76</v>
      </c>
      <c r="F67" s="231"/>
      <c r="G67" s="232"/>
      <c r="H67" s="389"/>
      <c r="I67" s="389"/>
      <c r="J67" s="273"/>
      <c r="K67" s="233"/>
      <c r="L67" s="233"/>
      <c r="M67" s="233"/>
      <c r="N67" s="164"/>
      <c r="O67" s="164"/>
      <c r="P67" s="164"/>
      <c r="Q67" s="164"/>
      <c r="R67" s="164"/>
      <c r="S67" s="164"/>
      <c r="T67" s="164"/>
      <c r="U67" s="164"/>
      <c r="V67" s="164"/>
      <c r="W67" s="165"/>
    </row>
    <row r="68" spans="1:23" ht="13.5" thickBot="1">
      <c r="A68" s="168"/>
      <c r="B68" s="169" t="s">
        <v>347</v>
      </c>
      <c r="C68" s="170"/>
      <c r="D68" s="171"/>
      <c r="E68" s="172">
        <f>Лист2!F9+Лист3!E26+Лист3!E38+Лист3!E49+Лист4!E28+Лист4!E36+Лист4!E56+Лист4!E86+Лист4!E93+Лист5!E39+Лист5!E57+Лист5!E65+E8-Лист4!E85-E62+Лист4!E14+E9+E10+E48+E29+E19-E63</f>
        <v>8030323.52</v>
      </c>
      <c r="F68" s="231"/>
      <c r="G68" s="232"/>
      <c r="H68" s="389"/>
      <c r="I68" s="389"/>
      <c r="J68" s="273"/>
      <c r="K68" s="233"/>
      <c r="L68" s="233"/>
      <c r="M68" s="233"/>
      <c r="N68" s="164"/>
      <c r="O68" s="164"/>
      <c r="P68" s="164"/>
      <c r="Q68" s="164"/>
      <c r="R68" s="164"/>
      <c r="S68" s="164"/>
      <c r="T68" s="164"/>
      <c r="U68" s="164"/>
      <c r="V68" s="164"/>
      <c r="W68" s="165"/>
    </row>
    <row r="69" spans="1:23" ht="16.5" thickBot="1">
      <c r="A69" s="168" t="s">
        <v>151</v>
      </c>
      <c r="B69" s="169" t="s">
        <v>45</v>
      </c>
      <c r="C69" s="170"/>
      <c r="D69" s="171"/>
      <c r="E69" s="172">
        <f>Лист3!E111+Лист3!E85+Лист3!E124</f>
        <v>9170550.02</v>
      </c>
      <c r="F69" s="231"/>
      <c r="G69" s="232"/>
      <c r="H69" s="406">
        <f>Лист4!H94+Лист5!H65</f>
        <v>806992.3799999998</v>
      </c>
      <c r="I69" s="406">
        <f>Лист4!I94+Лист5!I65</f>
        <v>1778383.44</v>
      </c>
      <c r="J69" s="406">
        <f>Лист4!J94+Лист5!J65</f>
        <v>2585375.8200000003</v>
      </c>
      <c r="K69" s="233"/>
      <c r="L69" s="233"/>
      <c r="M69" s="233"/>
      <c r="N69" s="164"/>
      <c r="O69" s="164"/>
      <c r="P69" s="164"/>
      <c r="Q69" s="164"/>
      <c r="R69" s="164"/>
      <c r="S69" s="164"/>
      <c r="T69" s="164"/>
      <c r="U69" s="164"/>
      <c r="V69" s="164"/>
      <c r="W69" s="165"/>
    </row>
    <row r="70" spans="1:23" ht="13.5" thickBot="1">
      <c r="A70" s="168" t="s">
        <v>153</v>
      </c>
      <c r="B70" s="169" t="s">
        <v>365</v>
      </c>
      <c r="C70" s="170"/>
      <c r="D70" s="171"/>
      <c r="E70" s="172">
        <f>Лист3!E67+Лист3!E68+Лист3!E71</f>
        <v>20956.21</v>
      </c>
      <c r="F70" s="234"/>
      <c r="G70" s="232"/>
      <c r="H70" s="389"/>
      <c r="I70" s="389"/>
      <c r="J70" s="273"/>
      <c r="K70" s="233"/>
      <c r="L70" s="233"/>
      <c r="M70" s="233"/>
      <c r="N70" s="164"/>
      <c r="O70" s="164"/>
      <c r="P70" s="164"/>
      <c r="Q70" s="164"/>
      <c r="R70" s="164"/>
      <c r="S70" s="164"/>
      <c r="T70" s="164"/>
      <c r="U70" s="164"/>
      <c r="V70" s="164"/>
      <c r="W70" s="165"/>
    </row>
    <row r="71" spans="1:23" ht="13.5" thickBot="1">
      <c r="A71" s="424" t="s">
        <v>153</v>
      </c>
      <c r="B71" s="169" t="s">
        <v>154</v>
      </c>
      <c r="C71" s="170"/>
      <c r="D71" s="171"/>
      <c r="E71" s="172">
        <f>Лист3!E69+Лист3!E70</f>
        <v>275813.56</v>
      </c>
      <c r="F71" s="235"/>
      <c r="G71" s="232"/>
      <c r="H71" s="389"/>
      <c r="I71" s="389"/>
      <c r="J71" s="273"/>
      <c r="K71" s="233"/>
      <c r="L71" s="233"/>
      <c r="M71" s="233"/>
      <c r="N71" s="164"/>
      <c r="O71" s="164"/>
      <c r="P71" s="164"/>
      <c r="Q71" s="164"/>
      <c r="R71" s="164"/>
      <c r="S71" s="164"/>
      <c r="T71" s="164"/>
      <c r="U71" s="164"/>
      <c r="V71" s="164"/>
      <c r="W71" s="165"/>
    </row>
    <row r="72" spans="1:23" ht="13.5" thickBot="1">
      <c r="A72" s="424" t="s">
        <v>153</v>
      </c>
      <c r="B72" s="169" t="s">
        <v>304</v>
      </c>
      <c r="C72" s="170"/>
      <c r="D72" s="171"/>
      <c r="E72" s="172">
        <f>Лист3!E72</f>
        <v>75.88</v>
      </c>
      <c r="F72" s="235"/>
      <c r="G72" s="232"/>
      <c r="H72" s="389"/>
      <c r="I72" s="389"/>
      <c r="J72" s="273"/>
      <c r="K72" s="233"/>
      <c r="L72" s="233"/>
      <c r="M72" s="233"/>
      <c r="N72" s="164"/>
      <c r="O72" s="164"/>
      <c r="P72" s="164"/>
      <c r="Q72" s="164"/>
      <c r="R72" s="164"/>
      <c r="S72" s="164"/>
      <c r="T72" s="164"/>
      <c r="U72" s="164"/>
      <c r="V72" s="164"/>
      <c r="W72" s="165"/>
    </row>
    <row r="73" spans="1:23" ht="13.5" thickBot="1">
      <c r="A73" s="424" t="s">
        <v>153</v>
      </c>
      <c r="B73" s="169" t="s">
        <v>46</v>
      </c>
      <c r="C73" s="170"/>
      <c r="D73" s="171"/>
      <c r="E73" s="172">
        <f>E71+E72+E70</f>
        <v>296845.65</v>
      </c>
      <c r="F73" s="235"/>
      <c r="G73" s="232"/>
      <c r="H73" s="389"/>
      <c r="I73" s="389"/>
      <c r="J73" s="273"/>
      <c r="K73" s="233"/>
      <c r="L73" s="233"/>
      <c r="M73" s="233"/>
      <c r="N73" s="164"/>
      <c r="O73" s="164"/>
      <c r="P73" s="164"/>
      <c r="Q73" s="164"/>
      <c r="R73" s="164"/>
      <c r="S73" s="164"/>
      <c r="T73" s="164"/>
      <c r="U73" s="164"/>
      <c r="V73" s="164"/>
      <c r="W73" s="165"/>
    </row>
    <row r="74" spans="1:23" ht="13.5" thickBot="1">
      <c r="A74" s="424"/>
      <c r="B74" s="169" t="s">
        <v>416</v>
      </c>
      <c r="C74" s="170"/>
      <c r="D74" s="171"/>
      <c r="E74" s="172">
        <f>Лист3!E96</f>
        <v>3753306.5</v>
      </c>
      <c r="F74" s="235"/>
      <c r="G74" s="232"/>
      <c r="H74" s="389"/>
      <c r="I74" s="389"/>
      <c r="J74" s="273"/>
      <c r="K74" s="233"/>
      <c r="L74" s="233"/>
      <c r="M74" s="233"/>
      <c r="N74" s="164"/>
      <c r="O74" s="164"/>
      <c r="P74" s="164"/>
      <c r="Q74" s="164"/>
      <c r="R74" s="164"/>
      <c r="S74" s="164"/>
      <c r="T74" s="164"/>
      <c r="U74" s="164"/>
      <c r="V74" s="164"/>
      <c r="W74" s="165"/>
    </row>
    <row r="75" spans="1:23" s="51" customFormat="1" ht="13.5" thickBot="1">
      <c r="A75" s="173"/>
      <c r="B75" s="174" t="s">
        <v>47</v>
      </c>
      <c r="C75" s="175"/>
      <c r="D75" s="176"/>
      <c r="E75" s="177">
        <f>E66+E69+E73+E74</f>
        <v>61436583.449999996</v>
      </c>
      <c r="F75" s="236"/>
      <c r="G75" s="237"/>
      <c r="H75" s="389"/>
      <c r="I75" s="389"/>
      <c r="J75" s="273"/>
      <c r="K75" s="233"/>
      <c r="L75" s="233"/>
      <c r="M75" s="233"/>
      <c r="N75" s="164"/>
      <c r="O75" s="164"/>
      <c r="P75" s="164"/>
      <c r="Q75" s="164"/>
      <c r="R75" s="164"/>
      <c r="S75" s="164"/>
      <c r="T75" s="164"/>
      <c r="U75" s="164"/>
      <c r="V75" s="164"/>
      <c r="W75" s="165"/>
    </row>
    <row r="76" spans="5:22" ht="12.75">
      <c r="E76" s="382"/>
      <c r="F76" s="228">
        <f>E66-E67</f>
        <v>8030323.520000003</v>
      </c>
      <c r="G76" s="228"/>
      <c r="H76" s="228"/>
      <c r="I76" s="228"/>
      <c r="K76" s="238"/>
      <c r="L76" s="238"/>
      <c r="M76" s="238"/>
      <c r="N76" s="121"/>
      <c r="O76" s="121"/>
      <c r="P76" s="121"/>
      <c r="Q76" s="121"/>
      <c r="R76" s="121"/>
      <c r="S76" s="121"/>
      <c r="T76" s="121"/>
      <c r="U76" s="121"/>
      <c r="V76" s="121"/>
    </row>
    <row r="77" spans="1:22" ht="18.75">
      <c r="A77" s="553"/>
      <c r="B77" s="553"/>
      <c r="C77" s="553"/>
      <c r="D77" s="553"/>
      <c r="E77" s="553"/>
      <c r="F77" s="228"/>
      <c r="G77" s="228"/>
      <c r="H77" s="228"/>
      <c r="I77" s="228"/>
      <c r="K77" s="238"/>
      <c r="L77" s="238"/>
      <c r="M77" s="238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1:22" ht="18.75">
      <c r="A78" s="552" t="s">
        <v>378</v>
      </c>
      <c r="B78" s="553"/>
      <c r="C78" s="553"/>
      <c r="D78" s="553"/>
      <c r="E78" s="553"/>
      <c r="F78" s="228"/>
      <c r="G78" s="228"/>
      <c r="H78" s="228"/>
      <c r="I78" s="228"/>
      <c r="K78" s="238"/>
      <c r="L78" s="238"/>
      <c r="M78" s="238"/>
      <c r="N78" s="121"/>
      <c r="O78" s="121"/>
      <c r="P78" s="121"/>
      <c r="Q78" s="121"/>
      <c r="R78" s="121"/>
      <c r="S78" s="121"/>
      <c r="T78" s="121"/>
      <c r="U78" s="121"/>
      <c r="V78" s="121"/>
    </row>
    <row r="79" spans="6:22" ht="12.75">
      <c r="F79" s="228"/>
      <c r="G79" s="228"/>
      <c r="H79" s="228"/>
      <c r="I79" s="228"/>
      <c r="K79" s="238"/>
      <c r="L79" s="238"/>
      <c r="M79" s="238"/>
      <c r="N79" s="121"/>
      <c r="O79" s="121"/>
      <c r="P79" s="121"/>
      <c r="Q79" s="121"/>
      <c r="R79" s="121"/>
      <c r="S79" s="121"/>
      <c r="T79" s="121"/>
      <c r="U79" s="121"/>
      <c r="V79" s="121"/>
    </row>
    <row r="80" spans="1:22" ht="14.25">
      <c r="A80" s="557" t="s">
        <v>439</v>
      </c>
      <c r="B80" s="557"/>
      <c r="C80" s="557"/>
      <c r="D80" s="557"/>
      <c r="E80" s="557"/>
      <c r="F80" s="228"/>
      <c r="G80" s="228"/>
      <c r="H80" s="228"/>
      <c r="I80" s="228"/>
      <c r="K80" s="238"/>
      <c r="L80" s="238"/>
      <c r="M80" s="238"/>
      <c r="N80" s="121"/>
      <c r="O80" s="121"/>
      <c r="P80" s="121"/>
      <c r="Q80" s="121"/>
      <c r="R80" s="121"/>
      <c r="S80" s="121"/>
      <c r="T80" s="121"/>
      <c r="U80" s="121"/>
      <c r="V80" s="121"/>
    </row>
    <row r="81" spans="5:22" ht="12.75">
      <c r="E81" s="54"/>
      <c r="F81" s="228"/>
      <c r="G81" s="228"/>
      <c r="H81" s="228"/>
      <c r="I81" s="228"/>
      <c r="K81" s="238"/>
      <c r="L81" s="238"/>
      <c r="M81" s="238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5:22" ht="12.75">
      <c r="E82" s="54"/>
      <c r="F82" s="228"/>
      <c r="G82" s="228"/>
      <c r="H82" s="228"/>
      <c r="I82" s="228"/>
      <c r="K82" s="238"/>
      <c r="L82" s="238"/>
      <c r="M82" s="238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6:22" ht="12.75">
      <c r="F83" s="228"/>
      <c r="G83" s="228"/>
      <c r="H83" s="228"/>
      <c r="I83" s="228"/>
      <c r="K83" s="238"/>
      <c r="L83" s="238"/>
      <c r="M83" s="238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6:22" ht="12.75">
      <c r="F84" s="228"/>
      <c r="G84" s="228"/>
      <c r="H84" s="228"/>
      <c r="I84" s="228"/>
      <c r="K84" s="238"/>
      <c r="L84" s="238"/>
      <c r="M84" s="238"/>
      <c r="N84" s="121"/>
      <c r="O84" s="121"/>
      <c r="P84" s="121"/>
      <c r="Q84" s="121"/>
      <c r="R84" s="121"/>
      <c r="S84" s="121"/>
      <c r="T84" s="121"/>
      <c r="U84" s="121"/>
      <c r="V84" s="121"/>
    </row>
    <row r="85" spans="6:22" ht="12.75">
      <c r="F85" s="228"/>
      <c r="G85" s="228"/>
      <c r="H85" s="228"/>
      <c r="I85" s="228"/>
      <c r="K85" s="238"/>
      <c r="L85" s="238"/>
      <c r="M85" s="238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6:22" ht="12.75">
      <c r="F86" s="228"/>
      <c r="G86" s="228"/>
      <c r="H86" s="228"/>
      <c r="I86" s="228"/>
      <c r="K86" s="238"/>
      <c r="L86" s="238"/>
      <c r="M86" s="238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6:22" ht="12.75">
      <c r="F87" s="228"/>
      <c r="G87" s="228"/>
      <c r="H87" s="228"/>
      <c r="I87" s="228"/>
      <c r="K87" s="238"/>
      <c r="L87" s="238"/>
      <c r="M87" s="238"/>
      <c r="N87" s="121"/>
      <c r="O87" s="121"/>
      <c r="P87" s="121"/>
      <c r="Q87" s="121"/>
      <c r="R87" s="121"/>
      <c r="S87" s="121"/>
      <c r="T87" s="121"/>
      <c r="U87" s="121"/>
      <c r="V87" s="121"/>
    </row>
    <row r="88" spans="6:22" ht="12.75">
      <c r="F88" s="228"/>
      <c r="G88" s="228"/>
      <c r="H88" s="228"/>
      <c r="I88" s="228"/>
      <c r="K88" s="238"/>
      <c r="L88" s="238"/>
      <c r="M88" s="238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6:22" ht="12.75">
      <c r="F89" s="228"/>
      <c r="G89" s="228"/>
      <c r="H89" s="228"/>
      <c r="I89" s="228"/>
      <c r="K89" s="238"/>
      <c r="L89" s="238"/>
      <c r="M89" s="238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6:22" ht="12.75">
      <c r="F90" s="228"/>
      <c r="G90" s="228"/>
      <c r="H90" s="228"/>
      <c r="I90" s="228"/>
      <c r="K90" s="238"/>
      <c r="L90" s="238"/>
      <c r="M90" s="238"/>
      <c r="N90" s="121"/>
      <c r="O90" s="121"/>
      <c r="P90" s="121"/>
      <c r="Q90" s="121"/>
      <c r="R90" s="121"/>
      <c r="S90" s="121"/>
      <c r="T90" s="121"/>
      <c r="U90" s="121"/>
      <c r="V90" s="121"/>
    </row>
    <row r="91" spans="6:22" ht="12.75">
      <c r="F91" s="228"/>
      <c r="G91" s="228"/>
      <c r="H91" s="228"/>
      <c r="I91" s="228"/>
      <c r="K91" s="238"/>
      <c r="L91" s="238"/>
      <c r="M91" s="238"/>
      <c r="N91" s="121"/>
      <c r="O91" s="121"/>
      <c r="P91" s="121"/>
      <c r="Q91" s="121"/>
      <c r="R91" s="121"/>
      <c r="S91" s="121"/>
      <c r="T91" s="121"/>
      <c r="U91" s="121"/>
      <c r="V91" s="121"/>
    </row>
    <row r="92" spans="6:22" ht="12.75">
      <c r="F92" s="228"/>
      <c r="G92" s="228"/>
      <c r="H92" s="228"/>
      <c r="I92" s="228"/>
      <c r="K92" s="238"/>
      <c r="L92" s="238"/>
      <c r="M92" s="238"/>
      <c r="N92" s="121"/>
      <c r="O92" s="121"/>
      <c r="P92" s="121"/>
      <c r="Q92" s="121"/>
      <c r="R92" s="121"/>
      <c r="S92" s="121"/>
      <c r="T92" s="121"/>
      <c r="U92" s="121"/>
      <c r="V92" s="121"/>
    </row>
    <row r="93" spans="6:22" ht="12.75">
      <c r="F93" s="228"/>
      <c r="G93" s="228"/>
      <c r="H93" s="228"/>
      <c r="I93" s="228"/>
      <c r="K93" s="238"/>
      <c r="L93" s="238"/>
      <c r="M93" s="238"/>
      <c r="N93" s="121"/>
      <c r="O93" s="121"/>
      <c r="P93" s="121"/>
      <c r="Q93" s="121"/>
      <c r="R93" s="121"/>
      <c r="S93" s="121"/>
      <c r="T93" s="121"/>
      <c r="U93" s="121"/>
      <c r="V93" s="121"/>
    </row>
    <row r="94" spans="6:22" ht="12.75">
      <c r="F94" s="228"/>
      <c r="G94" s="228"/>
      <c r="H94" s="228"/>
      <c r="I94" s="228"/>
      <c r="K94" s="238"/>
      <c r="L94" s="238"/>
      <c r="M94" s="238"/>
      <c r="N94" s="121"/>
      <c r="O94" s="121"/>
      <c r="P94" s="121"/>
      <c r="Q94" s="121"/>
      <c r="R94" s="121"/>
      <c r="S94" s="121"/>
      <c r="T94" s="121"/>
      <c r="U94" s="121"/>
      <c r="V94" s="121"/>
    </row>
    <row r="95" spans="6:22" ht="12.75">
      <c r="F95" s="228"/>
      <c r="G95" s="228"/>
      <c r="H95" s="228"/>
      <c r="I95" s="228"/>
      <c r="K95" s="238"/>
      <c r="L95" s="238"/>
      <c r="M95" s="238"/>
      <c r="N95" s="121"/>
      <c r="O95" s="121"/>
      <c r="P95" s="121"/>
      <c r="Q95" s="121"/>
      <c r="R95" s="121"/>
      <c r="S95" s="121"/>
      <c r="T95" s="121"/>
      <c r="U95" s="121"/>
      <c r="V95" s="121"/>
    </row>
    <row r="142" spans="2:5" ht="12.75">
      <c r="B142" s="51"/>
      <c r="C142" s="51"/>
      <c r="D142" s="51"/>
      <c r="E142" s="51"/>
    </row>
    <row r="143" spans="2:5" ht="12.75">
      <c r="B143" s="51"/>
      <c r="C143" s="51"/>
      <c r="D143" s="51"/>
      <c r="E143" s="51"/>
    </row>
    <row r="144" spans="2:5" ht="12.75">
      <c r="B144" s="51"/>
      <c r="C144" s="51"/>
      <c r="D144" s="51"/>
      <c r="E144" s="51"/>
    </row>
    <row r="145" spans="2:5" ht="12.75">
      <c r="B145" s="51"/>
      <c r="C145" s="51"/>
      <c r="D145" s="51"/>
      <c r="E145" s="51"/>
    </row>
    <row r="146" spans="2:5" ht="12.75">
      <c r="B146" s="51"/>
      <c r="C146" s="51"/>
      <c r="D146" s="51"/>
      <c r="E146" s="51"/>
    </row>
    <row r="147" spans="2:5" ht="12.75">
      <c r="B147" s="51"/>
      <c r="C147" s="51"/>
      <c r="D147" s="51"/>
      <c r="E147" s="51"/>
    </row>
    <row r="148" spans="2:5" ht="12.75">
      <c r="B148" s="51"/>
      <c r="C148" s="51"/>
      <c r="D148" s="51"/>
      <c r="E148" s="51"/>
    </row>
    <row r="149" spans="2:5" ht="12.75">
      <c r="B149" s="51"/>
      <c r="C149" s="51"/>
      <c r="D149" s="51"/>
      <c r="E149" s="51"/>
    </row>
    <row r="150" spans="2:5" ht="12.75">
      <c r="B150" s="51"/>
      <c r="C150" s="51"/>
      <c r="D150" s="51"/>
      <c r="E150" s="51"/>
    </row>
    <row r="151" spans="2:5" ht="12.75">
      <c r="B151" s="51"/>
      <c r="C151" s="51"/>
      <c r="D151" s="51"/>
      <c r="E151" s="51"/>
    </row>
  </sheetData>
  <sheetProtection/>
  <mergeCells count="17">
    <mergeCell ref="A80:E80"/>
    <mergeCell ref="A77:E77"/>
    <mergeCell ref="A2:E2"/>
    <mergeCell ref="A50:E50"/>
    <mergeCell ref="A49:E49"/>
    <mergeCell ref="A21:E21"/>
    <mergeCell ref="A22:E22"/>
    <mergeCell ref="A40:E40"/>
    <mergeCell ref="A41:E41"/>
    <mergeCell ref="A1:E1"/>
    <mergeCell ref="A78:E78"/>
    <mergeCell ref="A58:E58"/>
    <mergeCell ref="A59:E59"/>
    <mergeCell ref="A31:E31"/>
    <mergeCell ref="A32:E32"/>
    <mergeCell ref="A13:E13"/>
    <mergeCell ref="A14:E14"/>
  </mergeCells>
  <printOptions/>
  <pageMargins left="1.5748031496062993" right="0.3937007874015748" top="0" bottom="0" header="0.2755905511811024" footer="0.2755905511811024"/>
  <pageSetup fitToHeight="0" fitToWidth="1" horizontalDpi="600" verticalDpi="600" orientation="portrait" paperSize="9" scale="75" r:id="rId1"/>
  <rowBreaks count="1" manualBreakCount="1">
    <brk id="5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208"/>
  <sheetViews>
    <sheetView zoomScalePageLayoutView="0" workbookViewId="0" topLeftCell="A160">
      <selection activeCell="F139" sqref="F139"/>
    </sheetView>
  </sheetViews>
  <sheetFormatPr defaultColWidth="9.00390625" defaultRowHeight="12.75"/>
  <cols>
    <col min="1" max="1" width="76.00390625" style="1" customWidth="1"/>
    <col min="2" max="2" width="10.75390625" style="1" customWidth="1"/>
    <col min="3" max="3" width="15.875" style="1" hidden="1" customWidth="1"/>
    <col min="4" max="4" width="16.75390625" style="1" hidden="1" customWidth="1"/>
    <col min="5" max="5" width="14.875" style="41" hidden="1" customWidth="1"/>
    <col min="6" max="6" width="15.00390625" style="41" customWidth="1"/>
    <col min="7" max="7" width="9.125" style="1" customWidth="1"/>
    <col min="8" max="8" width="12.00390625" style="1" bestFit="1" customWidth="1"/>
    <col min="9" max="9" width="12.625" style="1" bestFit="1" customWidth="1"/>
    <col min="10" max="252" width="9.125" style="1" customWidth="1"/>
    <col min="253" max="16384" width="9.125" style="1" customWidth="1"/>
  </cols>
  <sheetData>
    <row r="1" spans="5:6" ht="12.75">
      <c r="E1" s="288"/>
      <c r="F1" s="2"/>
    </row>
    <row r="2" spans="1:6" ht="20.25">
      <c r="A2" s="577" t="s">
        <v>50</v>
      </c>
      <c r="B2" s="577"/>
      <c r="C2" s="577"/>
      <c r="D2" s="577"/>
      <c r="F2" s="1"/>
    </row>
    <row r="3" spans="1:6" ht="20.25">
      <c r="A3" s="577" t="s">
        <v>379</v>
      </c>
      <c r="B3" s="577"/>
      <c r="C3" s="577"/>
      <c r="D3" s="577"/>
      <c r="F3" s="1"/>
    </row>
    <row r="4" spans="1:6" ht="20.25">
      <c r="A4" s="277"/>
      <c r="B4" s="277"/>
      <c r="C4" s="277"/>
      <c r="D4" s="277"/>
      <c r="F4" s="1"/>
    </row>
    <row r="5" spans="1:6" ht="18.75">
      <c r="A5" s="578" t="s">
        <v>265</v>
      </c>
      <c r="B5" s="578"/>
      <c r="C5" s="578"/>
      <c r="D5" s="578"/>
      <c r="F5" s="1"/>
    </row>
    <row r="6" spans="1:6" ht="12.75">
      <c r="A6" s="579" t="s">
        <v>51</v>
      </c>
      <c r="B6" s="579"/>
      <c r="C6" s="579"/>
      <c r="D6" s="579"/>
      <c r="F6" s="1"/>
    </row>
    <row r="7" spans="1:6" ht="13.5" thickBot="1">
      <c r="A7" s="3"/>
      <c r="B7" s="3"/>
      <c r="C7" s="3"/>
      <c r="D7" s="3"/>
      <c r="F7" s="1"/>
    </row>
    <row r="8" spans="1:252" ht="16.5" thickBot="1">
      <c r="A8" s="4" t="s">
        <v>52</v>
      </c>
      <c r="B8" s="289" t="s">
        <v>53</v>
      </c>
      <c r="C8" s="4"/>
      <c r="D8" s="4"/>
      <c r="E8" s="29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6.5" thickBot="1">
      <c r="A9" s="4" t="s">
        <v>54</v>
      </c>
      <c r="B9" s="289" t="s">
        <v>55</v>
      </c>
      <c r="C9" s="4"/>
      <c r="D9" s="291"/>
      <c r="E9" s="29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6" ht="16.5" thickBot="1">
      <c r="A10" s="6"/>
      <c r="B10" s="292"/>
      <c r="D10" s="291"/>
      <c r="F10" s="1"/>
    </row>
    <row r="11" spans="1:6" ht="12.75">
      <c r="A11" s="580" t="s">
        <v>56</v>
      </c>
      <c r="B11" s="583" t="s">
        <v>57</v>
      </c>
      <c r="C11" s="586" t="s">
        <v>266</v>
      </c>
      <c r="D11" s="293" t="s">
        <v>267</v>
      </c>
      <c r="E11" s="41" t="s">
        <v>268</v>
      </c>
      <c r="F11" s="41" t="s">
        <v>268</v>
      </c>
    </row>
    <row r="12" spans="1:4" ht="12.75">
      <c r="A12" s="581"/>
      <c r="B12" s="584"/>
      <c r="C12" s="586"/>
      <c r="D12" s="567" t="s">
        <v>269</v>
      </c>
    </row>
    <row r="13" spans="1:6" ht="13.5" thickBot="1">
      <c r="A13" s="582"/>
      <c r="B13" s="585"/>
      <c r="C13" s="294" t="s">
        <v>270</v>
      </c>
      <c r="D13" s="568"/>
      <c r="E13" s="41" t="s">
        <v>271</v>
      </c>
      <c r="F13" s="41" t="s">
        <v>271</v>
      </c>
    </row>
    <row r="14" spans="1:252" ht="13.5" thickBot="1">
      <c r="A14" s="7">
        <v>1</v>
      </c>
      <c r="B14" s="8">
        <v>2</v>
      </c>
      <c r="C14" s="8">
        <v>3</v>
      </c>
      <c r="D14" s="295">
        <v>6</v>
      </c>
      <c r="E14" s="296">
        <v>3</v>
      </c>
      <c r="F14" s="296">
        <v>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19.5">
      <c r="A15" s="561" t="s">
        <v>58</v>
      </c>
      <c r="B15" s="562"/>
      <c r="C15" s="562"/>
      <c r="D15" s="562"/>
      <c r="E15" s="297">
        <v>2019</v>
      </c>
      <c r="F15" s="297">
        <v>2022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4" ht="12.75">
      <c r="A16" s="10" t="s">
        <v>59</v>
      </c>
      <c r="B16" s="11">
        <v>211</v>
      </c>
      <c r="C16" s="298">
        <v>0</v>
      </c>
      <c r="D16" s="299" t="e">
        <f>C16-#REF!</f>
        <v>#REF!</v>
      </c>
    </row>
    <row r="17" spans="1:6" ht="12.75">
      <c r="A17" s="10" t="s">
        <v>60</v>
      </c>
      <c r="B17" s="11">
        <v>211</v>
      </c>
      <c r="C17" s="298"/>
      <c r="D17" s="299"/>
      <c r="E17" s="41">
        <f>26665865.32+1290322.58+2111768.03</f>
        <v>30067955.93</v>
      </c>
      <c r="F17" s="396"/>
    </row>
    <row r="18" spans="1:6" ht="12.75">
      <c r="A18" s="12" t="s">
        <v>61</v>
      </c>
      <c r="B18" s="563">
        <v>212</v>
      </c>
      <c r="C18" s="300">
        <f>SUM(C19:C20)</f>
        <v>0</v>
      </c>
      <c r="D18" s="349" t="e">
        <f>SUM(D19:D20)</f>
        <v>#REF!</v>
      </c>
      <c r="E18" s="349">
        <f>SUM(E19:E20)</f>
        <v>0</v>
      </c>
      <c r="F18" s="349">
        <f>SUM(F19:F20)</f>
        <v>10000</v>
      </c>
    </row>
    <row r="19" spans="1:6" ht="12.75">
      <c r="A19" s="14" t="s">
        <v>62</v>
      </c>
      <c r="B19" s="563"/>
      <c r="C19" s="298"/>
      <c r="D19" s="299" t="e">
        <f>C19-#REF!</f>
        <v>#REF!</v>
      </c>
      <c r="E19" s="301"/>
      <c r="F19" s="301">
        <v>10000</v>
      </c>
    </row>
    <row r="20" spans="1:6" ht="12.75">
      <c r="A20" s="15" t="s">
        <v>63</v>
      </c>
      <c r="B20" s="563"/>
      <c r="C20" s="298"/>
      <c r="D20" s="299" t="e">
        <f>C20-#REF!</f>
        <v>#REF!</v>
      </c>
      <c r="E20" s="301">
        <v>0</v>
      </c>
      <c r="F20" s="301">
        <v>0</v>
      </c>
    </row>
    <row r="21" spans="1:6" ht="12.75">
      <c r="A21" s="12" t="s">
        <v>64</v>
      </c>
      <c r="B21" s="13">
        <v>213</v>
      </c>
      <c r="C21" s="298"/>
      <c r="D21" s="299" t="e">
        <f>C21-#REF!</f>
        <v>#REF!</v>
      </c>
      <c r="E21" s="301">
        <f>8053091.33+389677.42+637753.95</f>
        <v>9080522.7</v>
      </c>
      <c r="F21" s="350"/>
    </row>
    <row r="22" spans="1:6" ht="12.75">
      <c r="A22" s="16" t="s">
        <v>65</v>
      </c>
      <c r="B22" s="17">
        <v>222</v>
      </c>
      <c r="C22" s="298"/>
      <c r="D22" s="299" t="e">
        <f>C22-#REF!</f>
        <v>#REF!</v>
      </c>
      <c r="E22" s="301">
        <f>20000+5719.77</f>
        <v>25719.77</v>
      </c>
      <c r="F22" s="301"/>
    </row>
    <row r="23" spans="1:6" ht="12.75">
      <c r="A23" s="16" t="s">
        <v>66</v>
      </c>
      <c r="B23" s="17">
        <v>226</v>
      </c>
      <c r="C23" s="298"/>
      <c r="D23" s="299" t="e">
        <f>C23-#REF!</f>
        <v>#REF!</v>
      </c>
      <c r="E23" s="301"/>
      <c r="F23" s="301"/>
    </row>
    <row r="24" spans="1:252" ht="12.75">
      <c r="A24" s="18" t="s">
        <v>67</v>
      </c>
      <c r="B24" s="19" t="s">
        <v>68</v>
      </c>
      <c r="C24" s="302">
        <f>C21+C16</f>
        <v>0</v>
      </c>
      <c r="D24" s="303" t="e">
        <f>D21+D16</f>
        <v>#REF!</v>
      </c>
      <c r="E24" s="301">
        <v>0</v>
      </c>
      <c r="F24" s="301"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ht="13.5" thickBot="1">
      <c r="A25" s="21" t="s">
        <v>69</v>
      </c>
      <c r="B25" s="22" t="s">
        <v>68</v>
      </c>
      <c r="C25" s="304">
        <f>C16+C18+C21+C22+C23</f>
        <v>0</v>
      </c>
      <c r="D25" s="305" t="e">
        <f>D16+D18+D21+D22+D23</f>
        <v>#REF!</v>
      </c>
      <c r="E25" s="301">
        <f>E19+E22</f>
        <v>25719.77</v>
      </c>
      <c r="F25" s="301">
        <f>F19+F22</f>
        <v>10000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ht="12.75">
      <c r="A26" s="306"/>
      <c r="B26" s="307"/>
      <c r="C26" s="308"/>
      <c r="D26" s="309"/>
      <c r="E26" s="301">
        <v>0</v>
      </c>
      <c r="F26" s="301">
        <v>0</v>
      </c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0"/>
      <c r="FF26" s="310"/>
      <c r="FG26" s="310"/>
      <c r="FH26" s="310"/>
      <c r="FI26" s="310"/>
      <c r="FJ26" s="310"/>
      <c r="FK26" s="310"/>
      <c r="FL26" s="310"/>
      <c r="FM26" s="310"/>
      <c r="FN26" s="310"/>
      <c r="FO26" s="310"/>
      <c r="FP26" s="310"/>
      <c r="FQ26" s="310"/>
      <c r="FR26" s="310"/>
      <c r="FS26" s="310"/>
      <c r="FT26" s="310"/>
      <c r="FU26" s="310"/>
      <c r="FV26" s="310"/>
      <c r="FW26" s="310"/>
      <c r="FX26" s="310"/>
      <c r="FY26" s="310"/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/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  <c r="HQ26" s="310"/>
      <c r="HR26" s="310"/>
      <c r="HS26" s="310"/>
      <c r="HT26" s="310"/>
      <c r="HU26" s="310"/>
      <c r="HV26" s="310"/>
      <c r="HW26" s="310"/>
      <c r="HX26" s="310"/>
      <c r="HY26" s="310"/>
      <c r="HZ26" s="310"/>
      <c r="IA26" s="310"/>
      <c r="IB26" s="310"/>
      <c r="IC26" s="310"/>
      <c r="ID26" s="310"/>
      <c r="IE26" s="310"/>
      <c r="IF26" s="310"/>
      <c r="IG26" s="310"/>
      <c r="IH26" s="310"/>
      <c r="II26" s="310"/>
      <c r="IJ26" s="310"/>
      <c r="IK26" s="310"/>
      <c r="IL26" s="310"/>
      <c r="IM26" s="310"/>
      <c r="IN26" s="310"/>
      <c r="IO26" s="310"/>
      <c r="IP26" s="310"/>
      <c r="IQ26" s="310"/>
      <c r="IR26" s="310"/>
    </row>
    <row r="27" spans="1:6" ht="12.75">
      <c r="A27" s="12" t="s">
        <v>70</v>
      </c>
      <c r="B27" s="572">
        <v>221</v>
      </c>
      <c r="C27" s="300">
        <f>C28+C29+C34</f>
        <v>0</v>
      </c>
      <c r="D27" s="349" t="e">
        <f>D28+D29+D34</f>
        <v>#REF!</v>
      </c>
      <c r="E27" s="349">
        <f>E28+E30+E32</f>
        <v>24698</v>
      </c>
      <c r="F27" s="349">
        <f>F28+F30+F32</f>
        <v>24448.14</v>
      </c>
    </row>
    <row r="28" spans="1:7" ht="25.5">
      <c r="A28" s="23" t="s">
        <v>71</v>
      </c>
      <c r="B28" s="573"/>
      <c r="C28" s="298"/>
      <c r="D28" s="299" t="e">
        <f>C28-#REF!</f>
        <v>#REF!</v>
      </c>
      <c r="E28" s="301">
        <f>6300-5300-1000</f>
        <v>0</v>
      </c>
      <c r="F28" s="301">
        <f>6300-5300-1000</f>
        <v>0</v>
      </c>
      <c r="G28" s="311"/>
    </row>
    <row r="29" spans="1:6" ht="12.75">
      <c r="A29" s="23" t="s">
        <v>72</v>
      </c>
      <c r="B29" s="573"/>
      <c r="C29" s="312"/>
      <c r="D29" s="299" t="e">
        <f>C29-#REF!</f>
        <v>#REF!</v>
      </c>
      <c r="E29" s="301">
        <v>17640</v>
      </c>
      <c r="F29" s="301"/>
    </row>
    <row r="30" spans="1:6" ht="25.5">
      <c r="A30" s="23" t="s">
        <v>73</v>
      </c>
      <c r="B30" s="573"/>
      <c r="C30" s="298"/>
      <c r="D30" s="299" t="e">
        <f>C30-#REF!</f>
        <v>#REF!</v>
      </c>
      <c r="E30" s="301">
        <f>17640-3240+2608</f>
        <v>17008</v>
      </c>
      <c r="F30" s="301">
        <f>16864.2+60+83.94</f>
        <v>17008.14</v>
      </c>
    </row>
    <row r="31" spans="1:6" ht="12.75">
      <c r="A31" s="15" t="s">
        <v>74</v>
      </c>
      <c r="B31" s="573"/>
      <c r="C31" s="298"/>
      <c r="D31" s="299" t="e">
        <f>C31-#REF!</f>
        <v>#REF!</v>
      </c>
      <c r="E31" s="301">
        <v>0</v>
      </c>
      <c r="F31" s="301"/>
    </row>
    <row r="32" spans="1:6" ht="12.75">
      <c r="A32" s="15" t="s">
        <v>75</v>
      </c>
      <c r="B32" s="573"/>
      <c r="C32" s="298"/>
      <c r="D32" s="299" t="e">
        <f>C32-#REF!</f>
        <v>#REF!</v>
      </c>
      <c r="E32" s="301">
        <f>5300+3240-1100+250</f>
        <v>7690</v>
      </c>
      <c r="F32" s="301">
        <f>7500-60</f>
        <v>7440</v>
      </c>
    </row>
    <row r="33" spans="1:6" ht="12.75">
      <c r="A33" s="15" t="s">
        <v>76</v>
      </c>
      <c r="B33" s="573"/>
      <c r="C33" s="298"/>
      <c r="D33" s="299" t="e">
        <f>C33-#REF!</f>
        <v>#REF!</v>
      </c>
      <c r="E33" s="301">
        <v>0</v>
      </c>
      <c r="F33" s="301">
        <v>0</v>
      </c>
    </row>
    <row r="34" spans="1:6" ht="12.75">
      <c r="A34" s="24" t="s">
        <v>77</v>
      </c>
      <c r="B34" s="574"/>
      <c r="C34" s="298"/>
      <c r="D34" s="299" t="e">
        <f>C34-#REF!</f>
        <v>#REF!</v>
      </c>
      <c r="E34" s="301">
        <v>0</v>
      </c>
      <c r="F34" s="301">
        <v>0</v>
      </c>
    </row>
    <row r="35" spans="1:6" ht="12.75">
      <c r="A35" s="10" t="s">
        <v>78</v>
      </c>
      <c r="B35" s="564">
        <v>222</v>
      </c>
      <c r="C35" s="300">
        <f>SUM(C36:C36)</f>
        <v>0</v>
      </c>
      <c r="D35" s="299" t="e">
        <f>C35-#REF!</f>
        <v>#REF!</v>
      </c>
      <c r="E35" s="301">
        <v>0</v>
      </c>
      <c r="F35" s="301">
        <v>0</v>
      </c>
    </row>
    <row r="36" spans="1:6" ht="12.75">
      <c r="A36" s="25" t="s">
        <v>79</v>
      </c>
      <c r="B36" s="564"/>
      <c r="C36" s="298"/>
      <c r="D36" s="299" t="e">
        <f>C36-#REF!</f>
        <v>#REF!</v>
      </c>
      <c r="E36" s="301">
        <v>0</v>
      </c>
      <c r="F36" s="301">
        <v>0</v>
      </c>
    </row>
    <row r="37" spans="1:6" ht="12.75">
      <c r="A37" s="26" t="s">
        <v>80</v>
      </c>
      <c r="B37" s="564">
        <v>223</v>
      </c>
      <c r="C37" s="300">
        <f>SUM(C38:C43)</f>
        <v>0</v>
      </c>
      <c r="D37" s="349" t="e">
        <f>SUM(D38:D43)</f>
        <v>#REF!</v>
      </c>
      <c r="E37" s="349">
        <f>SUM(E38:E43)</f>
        <v>2067090.73</v>
      </c>
      <c r="F37" s="349">
        <f>SUM(F38:F43)</f>
        <v>2557642.96</v>
      </c>
    </row>
    <row r="38" spans="1:8" ht="12.75">
      <c r="A38" s="25" t="s">
        <v>81</v>
      </c>
      <c r="B38" s="564"/>
      <c r="C38" s="298"/>
      <c r="D38" s="299" t="e">
        <f>C38-#REF!</f>
        <v>#REF!</v>
      </c>
      <c r="E38" s="301">
        <f>1333500-91483.9-1349.6-7819.77</f>
        <v>1232846.73</v>
      </c>
      <c r="F38" s="301">
        <v>1550000</v>
      </c>
      <c r="G38" s="1">
        <v>1635298.1</v>
      </c>
      <c r="H38" s="1">
        <v>1700710.02</v>
      </c>
    </row>
    <row r="39" spans="1:6" ht="12.75">
      <c r="A39" s="16" t="s">
        <v>82</v>
      </c>
      <c r="B39" s="564"/>
      <c r="C39" s="298"/>
      <c r="D39" s="299" t="e">
        <f>C39-#REF!</f>
        <v>#REF!</v>
      </c>
      <c r="E39" s="301">
        <v>0</v>
      </c>
      <c r="F39" s="301"/>
    </row>
    <row r="40" spans="1:8" ht="12.75">
      <c r="A40" s="16" t="s">
        <v>83</v>
      </c>
      <c r="B40" s="564"/>
      <c r="C40" s="298"/>
      <c r="D40" s="299" t="e">
        <f>C40-#REF!</f>
        <v>#REF!</v>
      </c>
      <c r="E40" s="301">
        <f>367500-95.4-0.24+91483.9</f>
        <v>458888.26</v>
      </c>
      <c r="F40" s="301">
        <f>650000-13400</f>
        <v>636600</v>
      </c>
      <c r="G40" s="1">
        <v>806454.32</v>
      </c>
      <c r="H40" s="311">
        <v>838712.49</v>
      </c>
    </row>
    <row r="41" spans="1:8" ht="12.75">
      <c r="A41" s="16" t="s">
        <v>84</v>
      </c>
      <c r="B41" s="564"/>
      <c r="C41" s="298"/>
      <c r="D41" s="299" t="e">
        <f>C41-#REF!</f>
        <v>#REF!</v>
      </c>
      <c r="E41" s="301">
        <f>367500-44600-19667.9-56793.77</f>
        <v>246438.33</v>
      </c>
      <c r="F41" s="301">
        <f>300000-26000-17000</f>
        <v>257000</v>
      </c>
      <c r="G41" s="1">
        <v>336561.68</v>
      </c>
      <c r="H41" s="1">
        <v>350024.14</v>
      </c>
    </row>
    <row r="42" spans="1:8" ht="12.75">
      <c r="A42" s="1" t="s">
        <v>272</v>
      </c>
      <c r="B42" s="564"/>
      <c r="C42" s="298"/>
      <c r="D42" s="299" t="e">
        <f>C42-#REF!</f>
        <v>#REF!</v>
      </c>
      <c r="E42" s="301">
        <f>45234+58540.67+25142.74</f>
        <v>128917.41</v>
      </c>
      <c r="F42" s="301">
        <f>135200-2700-18457.04</f>
        <v>114042.95999999999</v>
      </c>
      <c r="G42" s="1">
        <v>146964.87</v>
      </c>
      <c r="H42" s="1">
        <v>152843.47</v>
      </c>
    </row>
    <row r="43" spans="1:252" ht="12.75">
      <c r="A43" s="313" t="s">
        <v>85</v>
      </c>
      <c r="B43" s="564"/>
      <c r="C43" s="314"/>
      <c r="D43" s="315" t="e">
        <f>#REF!-C43</f>
        <v>#REF!</v>
      </c>
      <c r="E43" s="301">
        <v>0</v>
      </c>
      <c r="F43" s="301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6"/>
      <c r="CZ43" s="316"/>
      <c r="DA43" s="316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6"/>
      <c r="FL43" s="316"/>
      <c r="FM43" s="316"/>
      <c r="FN43" s="316"/>
      <c r="FO43" s="316"/>
      <c r="FP43" s="316"/>
      <c r="FQ43" s="316"/>
      <c r="FR43" s="316"/>
      <c r="FS43" s="316"/>
      <c r="FT43" s="316"/>
      <c r="FU43" s="316"/>
      <c r="FV43" s="316"/>
      <c r="FW43" s="316"/>
      <c r="FX43" s="316"/>
      <c r="FY43" s="316"/>
      <c r="FZ43" s="316"/>
      <c r="GA43" s="316"/>
      <c r="GB43" s="316"/>
      <c r="GC43" s="316"/>
      <c r="GD43" s="316"/>
      <c r="GE43" s="316"/>
      <c r="GF43" s="316"/>
      <c r="GG43" s="316"/>
      <c r="GH43" s="316"/>
      <c r="GI43" s="316"/>
      <c r="GJ43" s="316"/>
      <c r="GK43" s="316"/>
      <c r="GL43" s="316"/>
      <c r="GM43" s="316"/>
      <c r="GN43" s="316"/>
      <c r="GO43" s="316"/>
      <c r="GP43" s="316"/>
      <c r="GQ43" s="316"/>
      <c r="GR43" s="316"/>
      <c r="GS43" s="316"/>
      <c r="GT43" s="316"/>
      <c r="GU43" s="316"/>
      <c r="GV43" s="316"/>
      <c r="GW43" s="316"/>
      <c r="GX43" s="316"/>
      <c r="GY43" s="316"/>
      <c r="GZ43" s="316"/>
      <c r="HA43" s="316"/>
      <c r="HB43" s="316"/>
      <c r="HC43" s="316"/>
      <c r="HD43" s="316"/>
      <c r="HE43" s="316"/>
      <c r="HF43" s="316"/>
      <c r="HG43" s="316"/>
      <c r="HH43" s="316"/>
      <c r="HI43" s="316"/>
      <c r="HJ43" s="316"/>
      <c r="HK43" s="316"/>
      <c r="HL43" s="316"/>
      <c r="HM43" s="316"/>
      <c r="HN43" s="316"/>
      <c r="HO43" s="316"/>
      <c r="HP43" s="316"/>
      <c r="HQ43" s="316"/>
      <c r="HR43" s="316"/>
      <c r="HS43" s="316"/>
      <c r="HT43" s="316"/>
      <c r="HU43" s="316"/>
      <c r="HV43" s="316"/>
      <c r="HW43" s="316"/>
      <c r="HX43" s="316"/>
      <c r="HY43" s="316"/>
      <c r="HZ43" s="316"/>
      <c r="IA43" s="316"/>
      <c r="IB43" s="316"/>
      <c r="IC43" s="316"/>
      <c r="ID43" s="316"/>
      <c r="IE43" s="316"/>
      <c r="IF43" s="316"/>
      <c r="IG43" s="316"/>
      <c r="IH43" s="316"/>
      <c r="II43" s="316"/>
      <c r="IJ43" s="316"/>
      <c r="IK43" s="316"/>
      <c r="IL43" s="316"/>
      <c r="IM43" s="316"/>
      <c r="IN43" s="316"/>
      <c r="IO43" s="316"/>
      <c r="IP43" s="316"/>
      <c r="IQ43" s="316"/>
      <c r="IR43" s="316"/>
    </row>
    <row r="44" spans="1:6" ht="12.75">
      <c r="A44" s="27" t="s">
        <v>86</v>
      </c>
      <c r="B44" s="558">
        <v>224</v>
      </c>
      <c r="C44" s="300">
        <f>SUM(C45:C47)</f>
        <v>0</v>
      </c>
      <c r="D44" s="299" t="e">
        <f>C44-#REF!</f>
        <v>#REF!</v>
      </c>
      <c r="E44" s="301">
        <v>0</v>
      </c>
      <c r="F44" s="301">
        <v>0</v>
      </c>
    </row>
    <row r="45" spans="1:6" ht="12.75">
      <c r="A45" s="25" t="s">
        <v>87</v>
      </c>
      <c r="B45" s="559"/>
      <c r="C45" s="298"/>
      <c r="D45" s="299" t="e">
        <f>C45-#REF!</f>
        <v>#REF!</v>
      </c>
      <c r="E45" s="301">
        <v>0</v>
      </c>
      <c r="F45" s="301">
        <v>0</v>
      </c>
    </row>
    <row r="46" spans="1:6" ht="12.75">
      <c r="A46" s="16"/>
      <c r="B46" s="559"/>
      <c r="C46" s="298"/>
      <c r="D46" s="299" t="e">
        <f>C46-#REF!</f>
        <v>#REF!</v>
      </c>
      <c r="E46" s="301">
        <v>0</v>
      </c>
      <c r="F46" s="301">
        <v>0</v>
      </c>
    </row>
    <row r="47" spans="1:6" ht="12.75">
      <c r="A47" s="23"/>
      <c r="B47" s="560"/>
      <c r="C47" s="298"/>
      <c r="D47" s="299" t="e">
        <f>C47-#REF!</f>
        <v>#REF!</v>
      </c>
      <c r="E47" s="301">
        <v>0</v>
      </c>
      <c r="F47" s="301">
        <v>0</v>
      </c>
    </row>
    <row r="48" spans="1:6" ht="12.75">
      <c r="A48" s="26" t="s">
        <v>88</v>
      </c>
      <c r="B48" s="558">
        <v>225</v>
      </c>
      <c r="C48" s="300">
        <f>SUM(C49:C69)</f>
        <v>0</v>
      </c>
      <c r="D48" s="349" t="e">
        <f>SUM(D49:D69)</f>
        <v>#REF!</v>
      </c>
      <c r="E48" s="349">
        <f>SUM(E49:E69)</f>
        <v>204199.18</v>
      </c>
      <c r="F48" s="349">
        <f>SUM(F49:F69)</f>
        <v>385980.55000000005</v>
      </c>
    </row>
    <row r="49" spans="1:6" ht="12.75">
      <c r="A49" s="28" t="s">
        <v>89</v>
      </c>
      <c r="B49" s="559"/>
      <c r="C49" s="298"/>
      <c r="D49" s="299" t="e">
        <f>C49-#REF!</f>
        <v>#REF!</v>
      </c>
      <c r="E49" s="301">
        <v>0</v>
      </c>
      <c r="F49" s="301">
        <v>0</v>
      </c>
    </row>
    <row r="50" spans="1:6" ht="12.75">
      <c r="A50" s="29" t="s">
        <v>90</v>
      </c>
      <c r="B50" s="559"/>
      <c r="C50" s="298"/>
      <c r="D50" s="299" t="e">
        <f>C50-#REF!</f>
        <v>#REF!</v>
      </c>
      <c r="E50" s="301">
        <f>26460+16400.38+7365.6+8197.2+4356</f>
        <v>62779.18000000001</v>
      </c>
      <c r="F50" s="301">
        <f>70230+56000+12170+7020</f>
        <v>145420</v>
      </c>
    </row>
    <row r="51" spans="1:6" ht="12.75">
      <c r="A51" s="30" t="s">
        <v>91</v>
      </c>
      <c r="B51" s="559"/>
      <c r="C51" s="298"/>
      <c r="D51" s="299" t="e">
        <f>C51-#REF!</f>
        <v>#REF!</v>
      </c>
      <c r="E51" s="301">
        <f>43050-11600-19871.86-578.14</f>
        <v>11000</v>
      </c>
      <c r="F51" s="301">
        <f>12000+18457.04</f>
        <v>30457.04</v>
      </c>
    </row>
    <row r="52" spans="1:6" ht="12.75">
      <c r="A52" s="30" t="s">
        <v>92</v>
      </c>
      <c r="B52" s="559"/>
      <c r="C52" s="298"/>
      <c r="D52" s="299" t="e">
        <f>C52-#REF!</f>
        <v>#REF!</v>
      </c>
      <c r="E52" s="301">
        <f>36750-750</f>
        <v>36000</v>
      </c>
      <c r="F52" s="301">
        <f>17000-500</f>
        <v>16500</v>
      </c>
    </row>
    <row r="53" spans="1:252" ht="12.75">
      <c r="A53" s="23" t="s">
        <v>93</v>
      </c>
      <c r="B53" s="559"/>
      <c r="C53" s="317"/>
      <c r="D53" s="299" t="e">
        <f>C53-#REF!</f>
        <v>#REF!</v>
      </c>
      <c r="E53" s="301">
        <f>42000-2000</f>
        <v>40000</v>
      </c>
      <c r="F53" s="301">
        <f>40000-10000</f>
        <v>30000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</row>
    <row r="54" spans="1:252" ht="12.75">
      <c r="A54" s="23" t="s">
        <v>94</v>
      </c>
      <c r="B54" s="559"/>
      <c r="C54" s="317"/>
      <c r="D54" s="299" t="e">
        <f>C54-#REF!</f>
        <v>#REF!</v>
      </c>
      <c r="E54" s="301">
        <f>4200-4200</f>
        <v>0</v>
      </c>
      <c r="F54" s="30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</row>
    <row r="55" spans="1:6" ht="12.75">
      <c r="A55" s="23" t="s">
        <v>72</v>
      </c>
      <c r="B55" s="559"/>
      <c r="C55" s="298"/>
      <c r="D55" s="299" t="e">
        <f>C55-#REF!</f>
        <v>#REF!</v>
      </c>
      <c r="E55" s="301">
        <v>0</v>
      </c>
      <c r="F55" s="301"/>
    </row>
    <row r="56" spans="1:6" ht="12.75">
      <c r="A56" s="23" t="s">
        <v>273</v>
      </c>
      <c r="B56" s="559"/>
      <c r="C56" s="298"/>
      <c r="D56" s="299"/>
      <c r="E56" s="301">
        <f>27300+37800+6900-42000-1400+1400</f>
        <v>30000</v>
      </c>
      <c r="F56" s="301">
        <f>49968-1000-968</f>
        <v>48000</v>
      </c>
    </row>
    <row r="57" spans="1:6" ht="12.75">
      <c r="A57" s="23" t="s">
        <v>95</v>
      </c>
      <c r="B57" s="559"/>
      <c r="C57" s="298"/>
      <c r="D57" s="299"/>
      <c r="E57" s="301">
        <v>0</v>
      </c>
      <c r="F57" s="301">
        <f>5161.7+5423.76+262.02</f>
        <v>10847.48</v>
      </c>
    </row>
    <row r="58" spans="1:6" ht="12.75">
      <c r="A58" s="23" t="s">
        <v>96</v>
      </c>
      <c r="B58" s="559"/>
      <c r="C58" s="298"/>
      <c r="D58" s="299"/>
      <c r="E58" s="301"/>
      <c r="F58" s="301"/>
    </row>
    <row r="59" spans="1:6" ht="12.75">
      <c r="A59" s="23" t="s">
        <v>97</v>
      </c>
      <c r="B59" s="559"/>
      <c r="C59" s="318"/>
      <c r="D59" s="299" t="e">
        <f>C59-#REF!</f>
        <v>#REF!</v>
      </c>
      <c r="E59" s="301">
        <f>37800-6900-2299.05-5000-403.75-8197.2</f>
        <v>15000</v>
      </c>
      <c r="F59" s="301">
        <f>17500-5143.97</f>
        <v>12356.029999999999</v>
      </c>
    </row>
    <row r="60" spans="1:6" ht="12.75">
      <c r="A60" s="23" t="s">
        <v>98</v>
      </c>
      <c r="B60" s="559"/>
      <c r="C60" s="298"/>
      <c r="D60" s="299"/>
      <c r="E60" s="301">
        <v>0</v>
      </c>
      <c r="F60" s="301"/>
    </row>
    <row r="61" spans="1:6" ht="12.75">
      <c r="A61" s="23" t="s">
        <v>99</v>
      </c>
      <c r="B61" s="559"/>
      <c r="C61" s="298"/>
      <c r="D61" s="299"/>
      <c r="E61" s="301">
        <v>0</v>
      </c>
      <c r="F61" s="301"/>
    </row>
    <row r="62" spans="1:6" ht="12.75">
      <c r="A62" s="23" t="s">
        <v>100</v>
      </c>
      <c r="B62" s="559"/>
      <c r="C62" s="298"/>
      <c r="D62" s="299"/>
      <c r="E62" s="301">
        <v>0</v>
      </c>
      <c r="F62" s="301"/>
    </row>
    <row r="63" spans="1:6" ht="12.75">
      <c r="A63" s="23" t="s">
        <v>431</v>
      </c>
      <c r="B63" s="559"/>
      <c r="C63" s="298"/>
      <c r="D63" s="299"/>
      <c r="E63" s="301">
        <v>0</v>
      </c>
      <c r="F63" s="301">
        <f>6000-6000</f>
        <v>0</v>
      </c>
    </row>
    <row r="64" spans="1:6" ht="12.75">
      <c r="A64" s="23" t="s">
        <v>101</v>
      </c>
      <c r="B64" s="559"/>
      <c r="C64" s="298"/>
      <c r="D64" s="299" t="e">
        <f>C64-#REF!</f>
        <v>#REF!</v>
      </c>
      <c r="E64" s="301">
        <f>47250-19008.38-8241.62-17460+5000-1540-1000</f>
        <v>5000</v>
      </c>
      <c r="F64" s="301"/>
    </row>
    <row r="65" spans="1:6" ht="12.75">
      <c r="A65" s="23" t="s">
        <v>102</v>
      </c>
      <c r="B65" s="559"/>
      <c r="C65" s="298"/>
      <c r="D65" s="299"/>
      <c r="E65" s="301">
        <f>58800-12500-5257.23-24782-16260.77</f>
        <v>0</v>
      </c>
      <c r="F65" s="301">
        <f>80000-12600-20000</f>
        <v>47400</v>
      </c>
    </row>
    <row r="66" spans="1:6" ht="12.75">
      <c r="A66" s="23" t="s">
        <v>353</v>
      </c>
      <c r="B66" s="559"/>
      <c r="C66" s="298"/>
      <c r="D66" s="299"/>
      <c r="E66" s="301">
        <v>0</v>
      </c>
      <c r="F66" s="301">
        <v>4000</v>
      </c>
    </row>
    <row r="67" spans="1:6" ht="12.75">
      <c r="A67" s="24" t="s">
        <v>339</v>
      </c>
      <c r="B67" s="559"/>
      <c r="C67" s="298"/>
      <c r="D67" s="299" t="e">
        <f>C67-#REF!</f>
        <v>#REF!</v>
      </c>
      <c r="E67" s="301">
        <f>13608-9188</f>
        <v>4420</v>
      </c>
      <c r="F67" s="301"/>
    </row>
    <row r="68" spans="1:6" ht="12.75">
      <c r="A68" s="24" t="s">
        <v>437</v>
      </c>
      <c r="B68" s="559"/>
      <c r="C68" s="298"/>
      <c r="D68" s="299" t="e">
        <f>C68-#REF!</f>
        <v>#REF!</v>
      </c>
      <c r="E68" s="301"/>
      <c r="F68" s="301">
        <v>26000</v>
      </c>
    </row>
    <row r="69" spans="1:6" ht="12.75">
      <c r="A69" s="24" t="s">
        <v>327</v>
      </c>
      <c r="B69" s="560"/>
      <c r="C69" s="298"/>
      <c r="D69" s="299" t="e">
        <f>C69-#REF!</f>
        <v>#REF!</v>
      </c>
      <c r="E69" s="301"/>
      <c r="F69" s="301">
        <v>15000</v>
      </c>
    </row>
    <row r="70" spans="1:6" ht="12.75">
      <c r="A70" s="26" t="s">
        <v>103</v>
      </c>
      <c r="B70" s="558">
        <v>226</v>
      </c>
      <c r="C70" s="300">
        <f>SUM(C72:C82)</f>
        <v>0</v>
      </c>
      <c r="D70" s="349" t="e">
        <f>SUM(D71:D86)</f>
        <v>#REF!</v>
      </c>
      <c r="E70" s="349">
        <f>SUM(E71:E89)</f>
        <v>6099797.610000001</v>
      </c>
      <c r="F70" s="349">
        <f>SUM(F71:F93)</f>
        <v>4057291.85</v>
      </c>
    </row>
    <row r="71" spans="1:6" ht="12.75">
      <c r="A71" s="25" t="s">
        <v>104</v>
      </c>
      <c r="B71" s="559"/>
      <c r="C71" s="300"/>
      <c r="D71" s="299"/>
      <c r="E71" s="301">
        <f>31500-7500</f>
        <v>24000</v>
      </c>
      <c r="F71" s="301">
        <f>24530.54-966.14</f>
        <v>23564.4</v>
      </c>
    </row>
    <row r="72" spans="1:6" ht="12.75">
      <c r="A72" s="25" t="s">
        <v>398</v>
      </c>
      <c r="B72" s="559"/>
      <c r="C72" s="298"/>
      <c r="D72" s="299"/>
      <c r="E72" s="301">
        <v>0</v>
      </c>
      <c r="F72" s="301">
        <f>116715-715</f>
        <v>116000</v>
      </c>
    </row>
    <row r="73" spans="1:6" ht="12.75">
      <c r="A73" s="16" t="s">
        <v>430</v>
      </c>
      <c r="B73" s="559"/>
      <c r="C73" s="298"/>
      <c r="D73" s="299" t="e">
        <f>C73-#REF!</f>
        <v>#REF!</v>
      </c>
      <c r="E73" s="301">
        <f>25360.65-9040-3820.65+1000</f>
        <v>13500.000000000002</v>
      </c>
      <c r="F73" s="301">
        <v>2000</v>
      </c>
    </row>
    <row r="74" spans="1:6" ht="12.75">
      <c r="A74" s="23" t="s">
        <v>411</v>
      </c>
      <c r="B74" s="559"/>
      <c r="C74" s="298"/>
      <c r="D74" s="299"/>
      <c r="E74" s="301">
        <v>0</v>
      </c>
      <c r="F74" s="301">
        <v>29624.17</v>
      </c>
    </row>
    <row r="75" spans="1:6" ht="12.75">
      <c r="A75" s="23" t="s">
        <v>376</v>
      </c>
      <c r="B75" s="559"/>
      <c r="C75" s="298"/>
      <c r="D75" s="299"/>
      <c r="E75" s="301">
        <v>0</v>
      </c>
      <c r="F75" s="301">
        <v>15000</v>
      </c>
    </row>
    <row r="76" spans="1:6" ht="12.75">
      <c r="A76" s="23" t="s">
        <v>345</v>
      </c>
      <c r="B76" s="559"/>
      <c r="C76" s="298"/>
      <c r="D76" s="299"/>
      <c r="E76" s="301">
        <f>6000-6000</f>
        <v>0</v>
      </c>
      <c r="F76" s="301">
        <f>12000-2000</f>
        <v>10000</v>
      </c>
    </row>
    <row r="77" spans="1:6" ht="12.75">
      <c r="A77" s="23" t="s">
        <v>105</v>
      </c>
      <c r="B77" s="559"/>
      <c r="C77" s="298"/>
      <c r="D77" s="299" t="e">
        <f>C77-#REF!</f>
        <v>#REF!</v>
      </c>
      <c r="E77" s="301">
        <f>189000-27000-8031.76-25575.2-10000-680.23-6750</f>
        <v>110962.81</v>
      </c>
      <c r="F77" s="301">
        <f>110000-4293</f>
        <v>105707</v>
      </c>
    </row>
    <row r="78" spans="1:6" ht="12.75">
      <c r="A78" s="23" t="s">
        <v>382</v>
      </c>
      <c r="B78" s="559"/>
      <c r="C78" s="298"/>
      <c r="D78" s="299"/>
      <c r="E78" s="301">
        <v>0</v>
      </c>
      <c r="F78" s="301">
        <v>89000</v>
      </c>
    </row>
    <row r="79" spans="1:6" ht="12.75">
      <c r="A79" s="24" t="s">
        <v>409</v>
      </c>
      <c r="B79" s="559"/>
      <c r="C79" s="298"/>
      <c r="D79" s="299" t="e">
        <f>C79-#REF!</f>
        <v>#REF!</v>
      </c>
      <c r="E79" s="301">
        <v>2095001</v>
      </c>
      <c r="F79" s="301">
        <v>110000</v>
      </c>
    </row>
    <row r="80" spans="1:6" ht="12.75">
      <c r="A80" s="24" t="s">
        <v>422</v>
      </c>
      <c r="B80" s="559"/>
      <c r="C80" s="298"/>
      <c r="D80" s="299" t="e">
        <f>C80-#REF!</f>
        <v>#REF!</v>
      </c>
      <c r="E80" s="350">
        <v>2095001</v>
      </c>
      <c r="F80" s="350">
        <v>54600</v>
      </c>
    </row>
    <row r="81" spans="1:6" ht="12.75">
      <c r="A81" s="24" t="s">
        <v>106</v>
      </c>
      <c r="B81" s="559"/>
      <c r="C81" s="298"/>
      <c r="D81" s="299" t="e">
        <f>C81-#REF!</f>
        <v>#REF!</v>
      </c>
      <c r="E81" s="301">
        <v>1360850.4</v>
      </c>
      <c r="F81" s="301">
        <f>1823420-312009.78+336572.11-250000-28000+2133.3+4870.53</f>
        <v>1576986.1600000001</v>
      </c>
    </row>
    <row r="82" spans="1:6" ht="12.75">
      <c r="A82" s="24" t="s">
        <v>312</v>
      </c>
      <c r="B82" s="559"/>
      <c r="C82" s="298"/>
      <c r="D82" s="299" t="e">
        <f>C82-#REF!</f>
        <v>#REF!</v>
      </c>
      <c r="E82" s="301">
        <v>187704</v>
      </c>
      <c r="F82" s="301">
        <f>1093764.7-158275.1-28000-4870.53</f>
        <v>902619.07</v>
      </c>
    </row>
    <row r="83" spans="1:6" ht="12.75">
      <c r="A83" s="24" t="s">
        <v>107</v>
      </c>
      <c r="B83" s="559"/>
      <c r="C83" s="298"/>
      <c r="D83" s="299"/>
      <c r="E83" s="301">
        <f>29400-907.23-28492.77</f>
        <v>0</v>
      </c>
      <c r="F83" s="301">
        <v>28161.05</v>
      </c>
    </row>
    <row r="84" spans="1:6" ht="12.75">
      <c r="A84" s="24" t="s">
        <v>108</v>
      </c>
      <c r="B84" s="559"/>
      <c r="C84" s="298"/>
      <c r="D84" s="299" t="e">
        <f>C84-#REF!</f>
        <v>#REF!</v>
      </c>
      <c r="E84" s="301">
        <f>31500+0.64+8031.76+40000+6750</f>
        <v>86282.4</v>
      </c>
      <c r="F84" s="301">
        <f>35000-15000</f>
        <v>20000</v>
      </c>
    </row>
    <row r="85" spans="1:6" ht="12.75">
      <c r="A85" s="24" t="s">
        <v>298</v>
      </c>
      <c r="B85" s="559"/>
      <c r="C85" s="298"/>
      <c r="D85" s="299" t="e">
        <f>C85-#REF!</f>
        <v>#REF!</v>
      </c>
      <c r="E85" s="301">
        <f>111760-13264</f>
        <v>98496</v>
      </c>
      <c r="F85" s="383">
        <f>463600-83.94-9670-7846.06</f>
        <v>446000</v>
      </c>
    </row>
    <row r="86" spans="1:6" ht="12.75">
      <c r="A86" s="24" t="s">
        <v>303</v>
      </c>
      <c r="B86" s="560"/>
      <c r="C86" s="298"/>
      <c r="D86" s="299" t="e">
        <f>C86-#REF!</f>
        <v>#REF!</v>
      </c>
      <c r="E86" s="301">
        <v>500</v>
      </c>
      <c r="F86" s="301">
        <v>1900</v>
      </c>
    </row>
    <row r="87" spans="1:6" ht="12.75">
      <c r="A87" s="24" t="s">
        <v>317</v>
      </c>
      <c r="B87" s="374"/>
      <c r="C87" s="298"/>
      <c r="D87" s="299" t="e">
        <f>C87-#REF!</f>
        <v>#REF!</v>
      </c>
      <c r="E87" s="301">
        <v>10000</v>
      </c>
      <c r="F87" s="301">
        <f>25000+1000</f>
        <v>26000</v>
      </c>
    </row>
    <row r="88" spans="1:6" ht="12.75">
      <c r="A88" s="24" t="s">
        <v>321</v>
      </c>
      <c r="B88" s="374"/>
      <c r="C88" s="298"/>
      <c r="D88" s="299" t="e">
        <f>C88-#REF!</f>
        <v>#REF!</v>
      </c>
      <c r="E88" s="301">
        <f>1500+5000</f>
        <v>6500</v>
      </c>
      <c r="F88" s="301">
        <v>20000</v>
      </c>
    </row>
    <row r="89" spans="1:6" ht="12.75">
      <c r="A89" s="24" t="s">
        <v>385</v>
      </c>
      <c r="B89" s="374"/>
      <c r="C89" s="298"/>
      <c r="D89" s="299" t="e">
        <f>C89-#REF!</f>
        <v>#REF!</v>
      </c>
      <c r="E89" s="301">
        <v>11000</v>
      </c>
      <c r="F89" s="301">
        <v>12600</v>
      </c>
    </row>
    <row r="90" spans="1:6" ht="12.75">
      <c r="A90" s="24" t="s">
        <v>380</v>
      </c>
      <c r="B90" s="374"/>
      <c r="C90" s="298"/>
      <c r="D90" s="299"/>
      <c r="E90" s="301"/>
      <c r="F90" s="301">
        <v>440000</v>
      </c>
    </row>
    <row r="91" spans="1:6" ht="12.75">
      <c r="A91" s="24" t="s">
        <v>428</v>
      </c>
      <c r="B91" s="374"/>
      <c r="C91" s="298"/>
      <c r="D91" s="299"/>
      <c r="E91" s="301"/>
      <c r="F91" s="301">
        <v>25500</v>
      </c>
    </row>
    <row r="92" spans="1:6" ht="12.75">
      <c r="A92" s="24" t="s">
        <v>429</v>
      </c>
      <c r="B92" s="374"/>
      <c r="C92" s="298"/>
      <c r="D92" s="299"/>
      <c r="E92" s="301"/>
      <c r="F92" s="301">
        <v>1800</v>
      </c>
    </row>
    <row r="93" spans="1:6" ht="12.75">
      <c r="A93" s="24" t="s">
        <v>385</v>
      </c>
      <c r="B93" s="374"/>
      <c r="C93" s="298"/>
      <c r="D93" s="299"/>
      <c r="E93" s="301"/>
      <c r="F93" s="301">
        <v>230</v>
      </c>
    </row>
    <row r="94" spans="1:6" ht="12.75">
      <c r="A94" s="364" t="s">
        <v>295</v>
      </c>
      <c r="B94" s="558">
        <v>227</v>
      </c>
      <c r="C94" s="298"/>
      <c r="D94" s="299"/>
      <c r="E94" s="363">
        <f>E95</f>
        <v>5040</v>
      </c>
      <c r="F94" s="363"/>
    </row>
    <row r="95" spans="1:6" ht="12.75">
      <c r="A95" s="23" t="s">
        <v>251</v>
      </c>
      <c r="B95" s="560"/>
      <c r="C95" s="298"/>
      <c r="D95" s="299"/>
      <c r="E95" s="301">
        <v>5040</v>
      </c>
      <c r="F95" s="301"/>
    </row>
    <row r="96" spans="1:6" ht="12.75">
      <c r="A96" s="26" t="s">
        <v>109</v>
      </c>
      <c r="B96" s="564">
        <v>291</v>
      </c>
      <c r="C96" s="300">
        <f>C97+C102</f>
        <v>0</v>
      </c>
      <c r="D96" s="349" t="e">
        <f>SUM(D97:D102)</f>
        <v>#REF!</v>
      </c>
      <c r="E96" s="349">
        <f>SUM(E97:E102)</f>
        <v>101057.3</v>
      </c>
      <c r="F96" s="349">
        <f>SUM(F97:F102)</f>
        <v>211891.39</v>
      </c>
    </row>
    <row r="97" spans="1:8" ht="12.75">
      <c r="A97" s="32" t="s">
        <v>110</v>
      </c>
      <c r="B97" s="564"/>
      <c r="C97" s="319"/>
      <c r="D97" s="299" t="e">
        <f>C97-#REF!</f>
        <v>#REF!</v>
      </c>
      <c r="E97" s="301">
        <f>56500-34764</f>
        <v>21736</v>
      </c>
      <c r="F97" s="301">
        <v>25701</v>
      </c>
      <c r="G97" s="1">
        <v>26729.04</v>
      </c>
      <c r="H97" s="1">
        <v>27798.2</v>
      </c>
    </row>
    <row r="98" spans="1:6" ht="12.75">
      <c r="A98" s="33" t="s">
        <v>111</v>
      </c>
      <c r="B98" s="564"/>
      <c r="C98" s="320"/>
      <c r="D98" s="299"/>
      <c r="E98" s="301"/>
      <c r="F98" s="301"/>
    </row>
    <row r="99" spans="1:6" ht="12.75">
      <c r="A99" s="33" t="s">
        <v>112</v>
      </c>
      <c r="B99" s="564"/>
      <c r="C99" s="320"/>
      <c r="D99" s="299"/>
      <c r="E99" s="301">
        <v>0</v>
      </c>
      <c r="F99" s="301"/>
    </row>
    <row r="100" spans="1:6" ht="12.75">
      <c r="A100" s="33" t="s">
        <v>274</v>
      </c>
      <c r="B100" s="564"/>
      <c r="C100" s="320"/>
      <c r="D100" s="299"/>
      <c r="E100" s="301">
        <v>0</v>
      </c>
      <c r="F100" s="301"/>
    </row>
    <row r="101" spans="1:6" ht="12.75">
      <c r="A101" s="33" t="s">
        <v>318</v>
      </c>
      <c r="B101" s="564"/>
      <c r="C101" s="320"/>
      <c r="D101" s="299"/>
      <c r="E101" s="301">
        <f>43250-737.7</f>
        <v>42512.3</v>
      </c>
      <c r="F101" s="301">
        <v>1.39</v>
      </c>
    </row>
    <row r="102" spans="1:6" ht="12.75">
      <c r="A102" s="33" t="s">
        <v>38</v>
      </c>
      <c r="B102" s="564"/>
      <c r="C102" s="320"/>
      <c r="D102" s="299" t="e">
        <f>C102-#REF!</f>
        <v>#REF!</v>
      </c>
      <c r="E102" s="301">
        <f>35300+1509</f>
        <v>36809</v>
      </c>
      <c r="F102" s="301">
        <v>186189</v>
      </c>
    </row>
    <row r="103" spans="1:6" ht="12.75">
      <c r="A103" s="34" t="s">
        <v>113</v>
      </c>
      <c r="B103" s="564">
        <v>310</v>
      </c>
      <c r="C103" s="300">
        <f>C104+C105+C110+C111+C116+C122+C125</f>
        <v>0</v>
      </c>
      <c r="D103" s="299" t="e">
        <f>C103-#REF!</f>
        <v>#REF!</v>
      </c>
      <c r="E103" s="301">
        <f>SUM(E104:E130)</f>
        <v>1558481.4200000002</v>
      </c>
      <c r="F103" s="363">
        <f>SUM(F104:F130)</f>
        <v>534531.1</v>
      </c>
    </row>
    <row r="104" spans="1:6" ht="12.75">
      <c r="A104" s="30" t="s">
        <v>114</v>
      </c>
      <c r="B104" s="564"/>
      <c r="C104" s="298"/>
      <c r="D104" s="299" t="e">
        <f>C104-#REF!</f>
        <v>#REF!</v>
      </c>
      <c r="E104" s="301">
        <v>0</v>
      </c>
      <c r="F104" s="301">
        <v>0</v>
      </c>
    </row>
    <row r="105" spans="1:6" ht="12.75">
      <c r="A105" s="35" t="s">
        <v>115</v>
      </c>
      <c r="B105" s="564"/>
      <c r="C105" s="298"/>
      <c r="D105" s="299" t="e">
        <f>C105-#REF!</f>
        <v>#REF!</v>
      </c>
      <c r="E105" s="301">
        <f>35000-23362.9-2570.1-9067</f>
        <v>0</v>
      </c>
      <c r="F105" s="301"/>
    </row>
    <row r="106" spans="1:6" ht="12.75">
      <c r="A106" s="16" t="s">
        <v>369</v>
      </c>
      <c r="B106" s="564"/>
      <c r="C106" s="298"/>
      <c r="D106" s="299"/>
      <c r="E106" s="301">
        <v>0</v>
      </c>
      <c r="F106" s="301"/>
    </row>
    <row r="107" spans="1:6" ht="12.75">
      <c r="A107" s="35" t="s">
        <v>116</v>
      </c>
      <c r="B107" s="564"/>
      <c r="C107" s="298"/>
      <c r="D107" s="299"/>
      <c r="E107" s="301">
        <v>0</v>
      </c>
      <c r="F107" s="301">
        <v>0</v>
      </c>
    </row>
    <row r="108" spans="1:6" ht="12.75">
      <c r="A108" s="16" t="s">
        <v>330</v>
      </c>
      <c r="B108" s="564"/>
      <c r="C108" s="298"/>
      <c r="D108" s="299"/>
      <c r="E108" s="301">
        <v>0</v>
      </c>
      <c r="F108" s="301">
        <v>0</v>
      </c>
    </row>
    <row r="109" spans="1:6" ht="12.75">
      <c r="A109" s="16" t="s">
        <v>328</v>
      </c>
      <c r="B109" s="564"/>
      <c r="C109" s="298"/>
      <c r="D109" s="299"/>
      <c r="E109" s="301">
        <v>0</v>
      </c>
      <c r="F109" s="301">
        <v>0</v>
      </c>
    </row>
    <row r="110" spans="1:6" ht="12.75">
      <c r="A110" s="16" t="s">
        <v>117</v>
      </c>
      <c r="B110" s="564"/>
      <c r="C110" s="298"/>
      <c r="D110" s="299" t="e">
        <f>C110-#REF!</f>
        <v>#REF!</v>
      </c>
      <c r="E110" s="301">
        <v>0</v>
      </c>
      <c r="F110" s="301">
        <v>0</v>
      </c>
    </row>
    <row r="111" spans="1:6" ht="12.75">
      <c r="A111" s="23" t="s">
        <v>118</v>
      </c>
      <c r="B111" s="564"/>
      <c r="C111" s="312"/>
      <c r="D111" s="299" t="e">
        <f>C111-#REF!</f>
        <v>#REF!</v>
      </c>
      <c r="E111" s="301">
        <v>0</v>
      </c>
      <c r="F111" s="301">
        <v>0</v>
      </c>
    </row>
    <row r="112" spans="1:6" ht="12.75">
      <c r="A112" s="23" t="s">
        <v>119</v>
      </c>
      <c r="B112" s="564"/>
      <c r="C112" s="298"/>
      <c r="D112" s="299" t="e">
        <f>C112-#REF!</f>
        <v>#REF!</v>
      </c>
      <c r="E112" s="301">
        <v>0</v>
      </c>
      <c r="F112" s="301">
        <v>0</v>
      </c>
    </row>
    <row r="113" spans="1:6" ht="12.75">
      <c r="A113" s="23" t="s">
        <v>120</v>
      </c>
      <c r="B113" s="564"/>
      <c r="C113" s="298"/>
      <c r="D113" s="299" t="e">
        <f>C113-#REF!</f>
        <v>#REF!</v>
      </c>
      <c r="E113" s="301">
        <v>0</v>
      </c>
      <c r="F113" s="301"/>
    </row>
    <row r="114" spans="1:6" ht="12.75">
      <c r="A114" s="23" t="s">
        <v>121</v>
      </c>
      <c r="B114" s="564"/>
      <c r="C114" s="318"/>
      <c r="D114" s="299" t="e">
        <f>C114-#REF!</f>
        <v>#REF!</v>
      </c>
      <c r="E114" s="301">
        <v>0</v>
      </c>
      <c r="F114" s="301">
        <v>0</v>
      </c>
    </row>
    <row r="115" spans="1:6" ht="12.75">
      <c r="A115" s="23" t="s">
        <v>275</v>
      </c>
      <c r="B115" s="564"/>
      <c r="C115" s="318"/>
      <c r="D115" s="299" t="e">
        <f>C115-#REF!</f>
        <v>#REF!</v>
      </c>
      <c r="E115" s="301">
        <v>0</v>
      </c>
      <c r="F115" s="301">
        <v>0</v>
      </c>
    </row>
    <row r="116" spans="1:6" ht="12.75">
      <c r="A116" s="20" t="s">
        <v>122</v>
      </c>
      <c r="B116" s="564"/>
      <c r="C116" s="318"/>
      <c r="D116" s="299" t="e">
        <f>C116-#REF!</f>
        <v>#REF!</v>
      </c>
      <c r="E116" s="301">
        <v>0</v>
      </c>
      <c r="F116" s="301">
        <v>0</v>
      </c>
    </row>
    <row r="117" spans="1:6" ht="12.75">
      <c r="A117" s="1" t="s">
        <v>408</v>
      </c>
      <c r="B117" s="564"/>
      <c r="C117" s="318"/>
      <c r="D117" s="299"/>
      <c r="E117" s="301">
        <v>0</v>
      </c>
      <c r="F117" s="301">
        <v>408275.1</v>
      </c>
    </row>
    <row r="118" spans="1:6" ht="12.75">
      <c r="A118" s="1" t="s">
        <v>123</v>
      </c>
      <c r="B118" s="564"/>
      <c r="C118" s="318"/>
      <c r="D118" s="299"/>
      <c r="E118" s="301">
        <v>0</v>
      </c>
      <c r="F118" s="301">
        <v>0</v>
      </c>
    </row>
    <row r="119" spans="1:6" ht="12.75">
      <c r="A119" s="20" t="s">
        <v>256</v>
      </c>
      <c r="B119" s="564"/>
      <c r="C119" s="318"/>
      <c r="D119" s="299"/>
      <c r="E119" s="301">
        <v>0</v>
      </c>
      <c r="F119" s="301">
        <v>0</v>
      </c>
    </row>
    <row r="120" spans="1:6" ht="12.75">
      <c r="A120" s="20" t="s">
        <v>276</v>
      </c>
      <c r="B120" s="564"/>
      <c r="C120" s="318"/>
      <c r="D120" s="299"/>
      <c r="E120" s="301">
        <v>0</v>
      </c>
      <c r="F120" s="301">
        <v>0</v>
      </c>
    </row>
    <row r="121" spans="1:6" ht="12.75">
      <c r="A121" s="1" t="s">
        <v>425</v>
      </c>
      <c r="B121" s="564"/>
      <c r="C121" s="318"/>
      <c r="D121" s="299"/>
      <c r="E121" s="301">
        <v>0</v>
      </c>
      <c r="F121" s="301">
        <v>126256</v>
      </c>
    </row>
    <row r="122" spans="1:6" ht="12.75">
      <c r="A122" s="24" t="s">
        <v>124</v>
      </c>
      <c r="B122" s="564"/>
      <c r="C122" s="318"/>
      <c r="D122" s="299" t="e">
        <f>C122-#REF!</f>
        <v>#REF!</v>
      </c>
      <c r="E122" s="301">
        <v>0</v>
      </c>
      <c r="F122" s="301">
        <v>0</v>
      </c>
    </row>
    <row r="123" spans="1:6" ht="12.75">
      <c r="A123" s="24" t="s">
        <v>277</v>
      </c>
      <c r="B123" s="564"/>
      <c r="C123" s="318"/>
      <c r="D123" s="299"/>
      <c r="E123" s="301">
        <v>0</v>
      </c>
      <c r="F123" s="301"/>
    </row>
    <row r="124" spans="1:6" ht="12.75">
      <c r="A124" s="16" t="s">
        <v>333</v>
      </c>
      <c r="B124" s="564"/>
      <c r="C124" s="318"/>
      <c r="D124" s="299" t="e">
        <f>C124-#REF!</f>
        <v>#REF!</v>
      </c>
      <c r="E124" s="301">
        <v>3040</v>
      </c>
      <c r="F124" s="301"/>
    </row>
    <row r="125" spans="1:6" ht="12.75">
      <c r="A125" s="16" t="s">
        <v>296</v>
      </c>
      <c r="B125" s="564"/>
      <c r="C125" s="318"/>
      <c r="D125" s="299" t="e">
        <f>C125-#REF!</f>
        <v>#REF!</v>
      </c>
      <c r="E125" s="301">
        <v>2500</v>
      </c>
      <c r="F125" s="301"/>
    </row>
    <row r="126" spans="1:6" ht="12.75">
      <c r="A126" s="36" t="s">
        <v>125</v>
      </c>
      <c r="B126" s="11"/>
      <c r="C126" s="321"/>
      <c r="D126" s="299"/>
      <c r="E126" s="301">
        <v>0</v>
      </c>
      <c r="F126" s="301"/>
    </row>
    <row r="127" spans="1:6" ht="12.75">
      <c r="A127" s="36" t="s">
        <v>377</v>
      </c>
      <c r="B127" s="11"/>
      <c r="C127" s="321"/>
      <c r="D127" s="299"/>
      <c r="E127" s="301">
        <v>33750</v>
      </c>
      <c r="F127" s="301"/>
    </row>
    <row r="128" spans="1:6" ht="12.75">
      <c r="A128" s="351" t="s">
        <v>326</v>
      </c>
      <c r="B128" s="11"/>
      <c r="C128" s="321"/>
      <c r="D128" s="299"/>
      <c r="E128" s="301">
        <v>800</v>
      </c>
      <c r="F128" s="301"/>
    </row>
    <row r="129" spans="1:6" ht="12.75">
      <c r="A129" s="351" t="s">
        <v>293</v>
      </c>
      <c r="B129" s="11"/>
      <c r="C129" s="321"/>
      <c r="D129" s="299"/>
      <c r="E129" s="350">
        <f>1235947.83+64.05-139912.9-14561-752+324985.44</f>
        <v>1405771.4200000002</v>
      </c>
      <c r="F129" s="350"/>
    </row>
    <row r="130" spans="1:6" ht="12.75">
      <c r="A130" s="351" t="s">
        <v>302</v>
      </c>
      <c r="B130" s="11"/>
      <c r="C130" s="321"/>
      <c r="D130" s="299"/>
      <c r="E130" s="350">
        <v>112620</v>
      </c>
      <c r="F130" s="350"/>
    </row>
    <row r="131" spans="1:6" ht="12.75">
      <c r="A131" s="37" t="s">
        <v>126</v>
      </c>
      <c r="B131" s="373">
        <v>340</v>
      </c>
      <c r="C131" s="322">
        <f>SUM(C135:C169)</f>
        <v>0</v>
      </c>
      <c r="D131" s="349" t="e">
        <f>SUM(D135:D175)</f>
        <v>#REF!</v>
      </c>
      <c r="E131" s="349">
        <f>SUM(E135:E175)</f>
        <v>825145.9000000001</v>
      </c>
      <c r="F131" s="349">
        <f>SUM(F133:F175)</f>
        <v>248537.53</v>
      </c>
    </row>
    <row r="132" spans="1:6" s="6" customFormat="1" ht="12.75">
      <c r="A132" s="38"/>
      <c r="B132" s="558">
        <v>341</v>
      </c>
      <c r="C132" s="323"/>
      <c r="D132" s="299" t="e">
        <f>C132-#REF!</f>
        <v>#REF!</v>
      </c>
      <c r="E132" s="301">
        <f>24782+6705-800-6015+2330-330+13118+15755</f>
        <v>55545</v>
      </c>
      <c r="F132" s="301"/>
    </row>
    <row r="133" spans="1:6" s="371" customFormat="1" ht="12.75">
      <c r="A133" s="38" t="s">
        <v>404</v>
      </c>
      <c r="B133" s="559"/>
      <c r="C133" s="323"/>
      <c r="D133" s="299"/>
      <c r="E133" s="301">
        <f>41600+2100-2100</f>
        <v>41600</v>
      </c>
      <c r="F133" s="301">
        <v>9670</v>
      </c>
    </row>
    <row r="134" spans="1:6" s="371" customFormat="1" ht="12.75">
      <c r="A134" s="327"/>
      <c r="B134" s="560"/>
      <c r="C134" s="325"/>
      <c r="D134" s="326"/>
      <c r="E134" s="301">
        <v>122500</v>
      </c>
      <c r="F134" s="301"/>
    </row>
    <row r="135" spans="1:6" s="6" customFormat="1" ht="12.75">
      <c r="A135" s="38"/>
      <c r="B135" s="558">
        <v>343</v>
      </c>
      <c r="C135" s="323"/>
      <c r="D135" s="299" t="e">
        <f>C135-#REF!</f>
        <v>#REF!</v>
      </c>
      <c r="E135" s="301">
        <f>24782+6705-800-6015+2330-330+13118+15755</f>
        <v>55545</v>
      </c>
      <c r="F135" s="301"/>
    </row>
    <row r="136" spans="1:6" s="371" customFormat="1" ht="12.75">
      <c r="A136" s="38" t="s">
        <v>381</v>
      </c>
      <c r="B136" s="559"/>
      <c r="C136" s="323"/>
      <c r="D136" s="299"/>
      <c r="E136" s="301">
        <f>41600+2100-2100</f>
        <v>41600</v>
      </c>
      <c r="F136" s="301">
        <f>25000-25000</f>
        <v>0</v>
      </c>
    </row>
    <row r="137" spans="1:6" s="371" customFormat="1" ht="12.75">
      <c r="A137" s="327"/>
      <c r="B137" s="560"/>
      <c r="C137" s="325"/>
      <c r="D137" s="326"/>
      <c r="E137" s="301">
        <v>122500</v>
      </c>
      <c r="F137" s="301"/>
    </row>
    <row r="138" spans="1:6" s="6" customFormat="1" ht="12.75">
      <c r="A138" s="38" t="s">
        <v>306</v>
      </c>
      <c r="B138" s="558">
        <v>344</v>
      </c>
      <c r="C138" s="323"/>
      <c r="D138" s="299" t="e">
        <f>C138-#REF!</f>
        <v>#REF!</v>
      </c>
      <c r="E138" s="301">
        <f>24782+6705-800-6015+2330-330+13118+15755</f>
        <v>55545</v>
      </c>
      <c r="F138" s="301">
        <f>73500+100000-110000+34247.53+10000</f>
        <v>107747.53</v>
      </c>
    </row>
    <row r="139" spans="1:6" s="371" customFormat="1" ht="12.75">
      <c r="A139" s="38" t="s">
        <v>308</v>
      </c>
      <c r="B139" s="559"/>
      <c r="C139" s="323"/>
      <c r="D139" s="299"/>
      <c r="E139" s="301">
        <f>41600+2100-2100</f>
        <v>41600</v>
      </c>
      <c r="F139" s="301"/>
    </row>
    <row r="140" spans="1:6" s="371" customFormat="1" ht="12.75">
      <c r="A140" s="327" t="s">
        <v>313</v>
      </c>
      <c r="B140" s="560"/>
      <c r="C140" s="325"/>
      <c r="D140" s="326"/>
      <c r="E140" s="301">
        <v>122500</v>
      </c>
      <c r="F140" s="301"/>
    </row>
    <row r="141" spans="1:6" s="6" customFormat="1" ht="12.75">
      <c r="A141" s="38" t="s">
        <v>306</v>
      </c>
      <c r="B141" s="558">
        <v>345</v>
      </c>
      <c r="C141" s="323"/>
      <c r="D141" s="299" t="e">
        <f>C141-#REF!</f>
        <v>#REF!</v>
      </c>
      <c r="E141" s="301">
        <f>24782+6705-800-6015+2330-330+13118+15755</f>
        <v>55545</v>
      </c>
      <c r="F141" s="301"/>
    </row>
    <row r="142" spans="1:6" s="371" customFormat="1" ht="12.75">
      <c r="A142" s="38" t="s">
        <v>386</v>
      </c>
      <c r="B142" s="559"/>
      <c r="C142" s="323"/>
      <c r="D142" s="299"/>
      <c r="E142" s="301">
        <f>41600+2100-2100</f>
        <v>41600</v>
      </c>
      <c r="F142" s="301">
        <v>16700</v>
      </c>
    </row>
    <row r="143" spans="1:6" s="371" customFormat="1" ht="12.75">
      <c r="A143" s="327" t="s">
        <v>313</v>
      </c>
      <c r="B143" s="560"/>
      <c r="C143" s="325"/>
      <c r="D143" s="326"/>
      <c r="E143" s="301">
        <v>122500</v>
      </c>
      <c r="F143" s="301"/>
    </row>
    <row r="144" spans="1:6" s="6" customFormat="1" ht="25.5">
      <c r="A144" s="38" t="s">
        <v>278</v>
      </c>
      <c r="B144" s="558">
        <v>346</v>
      </c>
      <c r="C144" s="323"/>
      <c r="D144" s="299" t="e">
        <f>C144-#REF!</f>
        <v>#REF!</v>
      </c>
      <c r="E144" s="301">
        <f>52447.5-10784.95-3223.13-224.85+12372+1200+5000</f>
        <v>56786.57000000001</v>
      </c>
      <c r="F144" s="301">
        <f>45000+20000</f>
        <v>65000</v>
      </c>
    </row>
    <row r="145" spans="1:6" s="371" customFormat="1" ht="12.75">
      <c r="A145" s="38" t="s">
        <v>127</v>
      </c>
      <c r="B145" s="559"/>
      <c r="C145" s="323"/>
      <c r="D145" s="299"/>
      <c r="E145" s="301">
        <f>69247.5-35000-15910.05-3450-6071.57-1753.45+7767.12+86.88</f>
        <v>14916.43</v>
      </c>
      <c r="F145" s="301">
        <f>56000-16700</f>
        <v>39300</v>
      </c>
    </row>
    <row r="146" spans="1:6" s="371" customFormat="1" ht="12.75">
      <c r="A146" s="38" t="s">
        <v>142</v>
      </c>
      <c r="B146" s="559"/>
      <c r="C146" s="323"/>
      <c r="D146" s="299"/>
      <c r="E146" s="301">
        <v>1350</v>
      </c>
      <c r="F146" s="301"/>
    </row>
    <row r="147" spans="1:6" s="371" customFormat="1" ht="12.75">
      <c r="A147" s="38" t="s">
        <v>311</v>
      </c>
      <c r="B147" s="559"/>
      <c r="C147" s="323"/>
      <c r="D147" s="299"/>
      <c r="E147" s="301">
        <f>3349.17-3349.17</f>
        <v>0</v>
      </c>
      <c r="F147" s="301"/>
    </row>
    <row r="148" spans="1:6" ht="12.75">
      <c r="A148" s="39" t="s">
        <v>309</v>
      </c>
      <c r="B148" s="559"/>
      <c r="C148" s="323"/>
      <c r="D148" s="299"/>
      <c r="E148" s="301">
        <f>9067+2600</f>
        <v>11667</v>
      </c>
      <c r="F148" s="301"/>
    </row>
    <row r="149" spans="1:6" s="371" customFormat="1" ht="12.75">
      <c r="A149" s="38" t="s">
        <v>310</v>
      </c>
      <c r="B149" s="559"/>
      <c r="C149" s="323"/>
      <c r="D149" s="299"/>
      <c r="E149" s="301">
        <f>2722.4-297.38-86.88-2338.14</f>
        <v>0</v>
      </c>
      <c r="F149" s="301"/>
    </row>
    <row r="150" spans="1:6" s="371" customFormat="1" ht="12.75">
      <c r="A150" s="38" t="s">
        <v>314</v>
      </c>
      <c r="B150" s="559"/>
      <c r="C150" s="323"/>
      <c r="D150" s="299"/>
      <c r="E150" s="301">
        <v>6015</v>
      </c>
      <c r="F150" s="301">
        <f>35000-12171.39-9143.76-13684.85</f>
        <v>0</v>
      </c>
    </row>
    <row r="151" spans="1:6" s="371" customFormat="1" ht="12.75">
      <c r="A151" s="38" t="s">
        <v>316</v>
      </c>
      <c r="B151" s="559"/>
      <c r="C151" s="323"/>
      <c r="D151" s="299"/>
      <c r="E151" s="301">
        <f>9000+2480+330</f>
        <v>11810</v>
      </c>
      <c r="F151" s="301"/>
    </row>
    <row r="152" spans="1:6" s="371" customFormat="1" ht="12.75">
      <c r="A152" s="38" t="s">
        <v>440</v>
      </c>
      <c r="B152" s="559"/>
      <c r="C152" s="323"/>
      <c r="D152" s="299"/>
      <c r="E152" s="301">
        <v>19500</v>
      </c>
      <c r="F152" s="301">
        <v>6400</v>
      </c>
    </row>
    <row r="153" spans="1:6" ht="12.75">
      <c r="A153" s="375" t="s">
        <v>332</v>
      </c>
      <c r="B153" s="559"/>
      <c r="C153" s="323"/>
      <c r="D153" s="299"/>
      <c r="E153" s="301">
        <f>14561+752</f>
        <v>15313</v>
      </c>
      <c r="F153" s="301"/>
    </row>
    <row r="154" spans="1:6" s="371" customFormat="1" ht="12.75">
      <c r="A154" s="327" t="s">
        <v>325</v>
      </c>
      <c r="B154" s="560"/>
      <c r="C154" s="325"/>
      <c r="D154" s="326"/>
      <c r="E154" s="301">
        <f>1152.77-1152.77</f>
        <v>0</v>
      </c>
      <c r="F154" s="301">
        <f>1152.77-1152.77</f>
        <v>0</v>
      </c>
    </row>
    <row r="155" spans="1:6" ht="12.75">
      <c r="A155" s="367" t="s">
        <v>128</v>
      </c>
      <c r="B155" s="373"/>
      <c r="C155" s="368"/>
      <c r="D155" s="369"/>
      <c r="E155" s="370"/>
      <c r="F155" s="370"/>
    </row>
    <row r="156" spans="1:6" ht="12.75">
      <c r="A156" s="372" t="s">
        <v>300</v>
      </c>
      <c r="B156" s="558">
        <v>349</v>
      </c>
      <c r="C156" s="323"/>
      <c r="D156" s="299"/>
      <c r="E156" s="301">
        <v>27292.9</v>
      </c>
      <c r="F156" s="301"/>
    </row>
    <row r="157" spans="1:6" ht="12.75">
      <c r="A157" s="39" t="s">
        <v>420</v>
      </c>
      <c r="B157" s="559"/>
      <c r="C157" s="323"/>
      <c r="D157" s="299" t="e">
        <f>C157-#REF!</f>
        <v>#REF!</v>
      </c>
      <c r="E157" s="301">
        <v>1560</v>
      </c>
      <c r="F157" s="301">
        <v>3720</v>
      </c>
    </row>
    <row r="158" spans="1:6" ht="12.75">
      <c r="A158" s="324" t="s">
        <v>129</v>
      </c>
      <c r="B158" s="373"/>
      <c r="C158" s="323"/>
      <c r="D158" s="299" t="e">
        <f>C158-#REF!</f>
        <v>#REF!</v>
      </c>
      <c r="E158" s="301">
        <v>0</v>
      </c>
      <c r="F158" s="301">
        <v>0</v>
      </c>
    </row>
    <row r="159" spans="1:6" ht="12.75">
      <c r="A159" s="324" t="s">
        <v>130</v>
      </c>
      <c r="B159" s="373"/>
      <c r="C159" s="323"/>
      <c r="D159" s="299" t="e">
        <f>C159-#REF!</f>
        <v>#REF!</v>
      </c>
      <c r="E159" s="301">
        <v>0</v>
      </c>
      <c r="F159" s="301">
        <v>0</v>
      </c>
    </row>
    <row r="160" spans="1:6" ht="12.75">
      <c r="A160" s="324" t="s">
        <v>131</v>
      </c>
      <c r="B160" s="373"/>
      <c r="C160" s="323"/>
      <c r="D160" s="299" t="e">
        <f>C160-#REF!</f>
        <v>#REF!</v>
      </c>
      <c r="E160" s="301">
        <v>0</v>
      </c>
      <c r="F160" s="301">
        <v>0</v>
      </c>
    </row>
    <row r="161" spans="1:6" ht="12.75">
      <c r="A161" s="324" t="s">
        <v>132</v>
      </c>
      <c r="B161" s="373"/>
      <c r="C161" s="323"/>
      <c r="D161" s="299" t="e">
        <f>C161-#REF!</f>
        <v>#REF!</v>
      </c>
      <c r="E161" s="301">
        <v>0</v>
      </c>
      <c r="F161" s="301">
        <v>0</v>
      </c>
    </row>
    <row r="162" spans="1:6" ht="12.75">
      <c r="A162" s="324" t="s">
        <v>133</v>
      </c>
      <c r="B162" s="373"/>
      <c r="C162" s="323"/>
      <c r="D162" s="299" t="e">
        <f>C162-#REF!</f>
        <v>#REF!</v>
      </c>
      <c r="E162" s="301">
        <v>0</v>
      </c>
      <c r="F162" s="301">
        <v>0</v>
      </c>
    </row>
    <row r="163" spans="1:6" ht="12.75">
      <c r="A163" s="324" t="s">
        <v>134</v>
      </c>
      <c r="B163" s="373"/>
      <c r="C163" s="323"/>
      <c r="D163" s="299" t="e">
        <f>C163-#REF!</f>
        <v>#REF!</v>
      </c>
      <c r="E163" s="301">
        <v>0</v>
      </c>
      <c r="F163" s="301">
        <v>0</v>
      </c>
    </row>
    <row r="164" spans="1:6" ht="12.75">
      <c r="A164" s="324" t="s">
        <v>135</v>
      </c>
      <c r="B164" s="373"/>
      <c r="C164" s="323"/>
      <c r="D164" s="299"/>
      <c r="E164" s="301">
        <v>0</v>
      </c>
      <c r="F164" s="301">
        <v>0</v>
      </c>
    </row>
    <row r="165" spans="1:6" ht="12.75">
      <c r="A165" s="324" t="s">
        <v>136</v>
      </c>
      <c r="B165" s="373"/>
      <c r="C165" s="323"/>
      <c r="D165" s="299"/>
      <c r="E165" s="301">
        <v>0</v>
      </c>
      <c r="F165" s="301"/>
    </row>
    <row r="166" spans="1:6" ht="12.75">
      <c r="A166" s="324" t="s">
        <v>137</v>
      </c>
      <c r="B166" s="373"/>
      <c r="C166" s="323"/>
      <c r="D166" s="299"/>
      <c r="E166" s="301">
        <v>0</v>
      </c>
      <c r="F166" s="301">
        <v>0</v>
      </c>
    </row>
    <row r="167" spans="1:6" ht="12.75">
      <c r="A167" s="324" t="s">
        <v>138</v>
      </c>
      <c r="B167" s="373"/>
      <c r="C167" s="323"/>
      <c r="D167" s="299"/>
      <c r="E167" s="301">
        <v>0</v>
      </c>
      <c r="F167" s="301">
        <v>0</v>
      </c>
    </row>
    <row r="168" spans="1:6" ht="12.75">
      <c r="A168" s="324" t="s">
        <v>139</v>
      </c>
      <c r="B168" s="373"/>
      <c r="C168" s="323"/>
      <c r="D168" s="299" t="e">
        <f>C168-#REF!</f>
        <v>#REF!</v>
      </c>
      <c r="E168" s="301">
        <v>0</v>
      </c>
      <c r="F168" s="301">
        <v>0</v>
      </c>
    </row>
    <row r="169" spans="1:6" ht="12.75">
      <c r="A169" s="324" t="s">
        <v>140</v>
      </c>
      <c r="B169" s="373"/>
      <c r="C169" s="323"/>
      <c r="D169" s="299" t="e">
        <f>C169-#REF!</f>
        <v>#REF!</v>
      </c>
      <c r="E169" s="301">
        <v>0</v>
      </c>
      <c r="F169" s="301">
        <v>0</v>
      </c>
    </row>
    <row r="170" spans="1:6" ht="12.75">
      <c r="A170" s="324" t="s">
        <v>152</v>
      </c>
      <c r="B170" s="373"/>
      <c r="C170" s="325"/>
      <c r="D170" s="326"/>
      <c r="E170" s="301">
        <v>0</v>
      </c>
      <c r="F170" s="301">
        <v>0</v>
      </c>
    </row>
    <row r="171" spans="1:6" ht="12.75">
      <c r="A171" s="324" t="s">
        <v>106</v>
      </c>
      <c r="B171" s="373"/>
      <c r="C171" s="325"/>
      <c r="D171" s="326"/>
      <c r="E171" s="301">
        <v>0</v>
      </c>
      <c r="F171" s="301">
        <v>0</v>
      </c>
    </row>
    <row r="172" spans="1:6" ht="12.75">
      <c r="A172" s="327" t="s">
        <v>141</v>
      </c>
      <c r="B172" s="373"/>
      <c r="C172" s="325"/>
      <c r="D172" s="326"/>
      <c r="E172" s="301">
        <v>0</v>
      </c>
      <c r="F172" s="301">
        <v>0</v>
      </c>
    </row>
    <row r="173" spans="1:6" ht="12.75">
      <c r="A173" s="23" t="s">
        <v>254</v>
      </c>
      <c r="B173" s="373"/>
      <c r="C173" s="298"/>
      <c r="D173" s="299" t="e">
        <f>C173-#REF!</f>
        <v>#REF!</v>
      </c>
      <c r="E173" s="301">
        <v>0</v>
      </c>
      <c r="F173" s="301">
        <v>0</v>
      </c>
    </row>
    <row r="174" spans="1:6" ht="12.75">
      <c r="A174" s="40" t="s">
        <v>142</v>
      </c>
      <c r="B174" s="373"/>
      <c r="C174" s="325"/>
      <c r="D174" s="326"/>
      <c r="E174" s="301">
        <v>0</v>
      </c>
      <c r="F174" s="301">
        <v>0</v>
      </c>
    </row>
    <row r="175" spans="1:6" ht="13.5" thickBot="1">
      <c r="A175" s="327" t="s">
        <v>143</v>
      </c>
      <c r="B175" s="373"/>
      <c r="C175" s="325"/>
      <c r="D175" s="326"/>
      <c r="E175" s="301">
        <v>0</v>
      </c>
      <c r="F175" s="301">
        <v>0</v>
      </c>
    </row>
    <row r="176" spans="1:6" ht="12.75">
      <c r="A176" s="569" t="s">
        <v>144</v>
      </c>
      <c r="B176" s="570"/>
      <c r="C176" s="571"/>
      <c r="D176" s="571"/>
      <c r="E176" s="301">
        <v>0</v>
      </c>
      <c r="F176" s="301">
        <v>0</v>
      </c>
    </row>
    <row r="177" spans="1:6" ht="13.5" thickBot="1">
      <c r="A177" s="32" t="s">
        <v>145</v>
      </c>
      <c r="B177" s="11"/>
      <c r="C177" s="319"/>
      <c r="D177" s="328" t="e">
        <f>#REF!-C177</f>
        <v>#REF!</v>
      </c>
      <c r="E177" s="301">
        <v>0</v>
      </c>
      <c r="F177" s="301">
        <v>0</v>
      </c>
    </row>
    <row r="178" spans="1:6" ht="12.75">
      <c r="A178" s="569" t="s">
        <v>146</v>
      </c>
      <c r="B178" s="571"/>
      <c r="C178" s="571"/>
      <c r="D178" s="571"/>
      <c r="E178" s="301">
        <f>E180</f>
        <v>0</v>
      </c>
      <c r="F178" s="301">
        <f>F180</f>
        <v>0</v>
      </c>
    </row>
    <row r="179" spans="1:252" ht="12.75">
      <c r="A179" s="32" t="s">
        <v>147</v>
      </c>
      <c r="B179" s="564">
        <v>290</v>
      </c>
      <c r="C179" s="329">
        <f>SUM(C180:C181)</f>
        <v>0</v>
      </c>
      <c r="D179" s="328" t="e">
        <f>#REF!-C179</f>
        <v>#REF!</v>
      </c>
      <c r="E179" s="301">
        <v>0</v>
      </c>
      <c r="F179" s="301">
        <v>0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</row>
    <row r="180" spans="1:6" ht="12.75">
      <c r="A180" s="32" t="s">
        <v>111</v>
      </c>
      <c r="B180" s="564"/>
      <c r="C180" s="319"/>
      <c r="D180" s="328" t="e">
        <f>#REF!-C180</f>
        <v>#REF!</v>
      </c>
      <c r="E180" s="301"/>
      <c r="F180" s="301"/>
    </row>
    <row r="181" spans="1:6" ht="13.5" thickBot="1">
      <c r="A181" s="33" t="s">
        <v>148</v>
      </c>
      <c r="B181" s="558"/>
      <c r="C181" s="320"/>
      <c r="D181" s="330" t="e">
        <f>#REF!-C181</f>
        <v>#REF!</v>
      </c>
      <c r="E181" s="331"/>
      <c r="F181" s="331"/>
    </row>
    <row r="182" spans="1:8" ht="19.5" thickBot="1">
      <c r="A182" s="575" t="s">
        <v>149</v>
      </c>
      <c r="B182" s="576"/>
      <c r="C182" s="332">
        <f>C131+C103+C96+C70+C48+C44+C37+C35+C27+C21+C18+C16+C22+C23+C177+C179</f>
        <v>0</v>
      </c>
      <c r="D182" s="352" t="e">
        <f>D131+D103+D96+D70+D48+D44+D37+D35+D27+D21+D18+D16+D22+D23+D177+D179+D17</f>
        <v>#REF!</v>
      </c>
      <c r="E182" s="353">
        <f>E131+E103+E96+E70+E48+E44+E37+E35+E27+E16+E23+E177+E179+E17+E25+E178+E21+E94-E79</f>
        <v>47964707.54000001</v>
      </c>
      <c r="F182" s="353">
        <f>F17+F21+F22+F27+F37+F48+F70+F96+F103+F131+F18</f>
        <v>8030323.52</v>
      </c>
      <c r="G182" s="420"/>
      <c r="H182" s="420"/>
    </row>
    <row r="183" spans="5:6" ht="12.75">
      <c r="E183" s="6"/>
      <c r="F183" s="6"/>
    </row>
    <row r="184" spans="1:254" ht="15.75">
      <c r="A184" s="5"/>
      <c r="B184" s="565"/>
      <c r="C184" s="566"/>
      <c r="D184" s="5"/>
      <c r="E184" s="4"/>
      <c r="F184" s="39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</row>
    <row r="185" spans="1:254" ht="15.75">
      <c r="A185" s="291" t="s">
        <v>384</v>
      </c>
      <c r="B185" s="394"/>
      <c r="C185" s="35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  <c r="AC185" s="334"/>
      <c r="AD185" s="334"/>
      <c r="AE185" s="334"/>
      <c r="AF185" s="334"/>
      <c r="AG185" s="334"/>
      <c r="AH185" s="334"/>
      <c r="AI185" s="334"/>
      <c r="AJ185" s="334"/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34"/>
      <c r="BK185" s="334"/>
      <c r="BL185" s="334"/>
      <c r="BM185" s="334"/>
      <c r="BN185" s="334"/>
      <c r="BO185" s="334"/>
      <c r="BP185" s="334"/>
      <c r="BQ185" s="334"/>
      <c r="BR185" s="334"/>
      <c r="BS185" s="334"/>
      <c r="BT185" s="334"/>
      <c r="BU185" s="334"/>
      <c r="BV185" s="334"/>
      <c r="BW185" s="334"/>
      <c r="BX185" s="334"/>
      <c r="BY185" s="334"/>
      <c r="BZ185" s="334"/>
      <c r="CA185" s="334"/>
      <c r="CB185" s="334"/>
      <c r="CC185" s="334"/>
      <c r="CD185" s="334"/>
      <c r="CE185" s="334"/>
      <c r="CF185" s="334"/>
      <c r="CG185" s="334"/>
      <c r="CH185" s="334"/>
      <c r="CI185" s="334"/>
      <c r="CJ185" s="334"/>
      <c r="CK185" s="334"/>
      <c r="CL185" s="334"/>
      <c r="CM185" s="334"/>
      <c r="CN185" s="334"/>
      <c r="CO185" s="334"/>
      <c r="CP185" s="334"/>
      <c r="CQ185" s="334"/>
      <c r="CR185" s="334"/>
      <c r="CS185" s="334"/>
      <c r="CT185" s="334"/>
      <c r="CU185" s="334"/>
      <c r="CV185" s="334"/>
      <c r="CW185" s="334"/>
      <c r="CX185" s="334"/>
      <c r="CY185" s="334"/>
      <c r="CZ185" s="334"/>
      <c r="DA185" s="334"/>
      <c r="DB185" s="334"/>
      <c r="DC185" s="334"/>
      <c r="DD185" s="334"/>
      <c r="DE185" s="334"/>
      <c r="DF185" s="334"/>
      <c r="DG185" s="334"/>
      <c r="DH185" s="334"/>
      <c r="DI185" s="334"/>
      <c r="DJ185" s="334"/>
      <c r="DK185" s="334"/>
      <c r="DL185" s="334"/>
      <c r="DM185" s="334"/>
      <c r="DN185" s="334"/>
      <c r="DO185" s="334"/>
      <c r="DP185" s="334"/>
      <c r="DQ185" s="334"/>
      <c r="DR185" s="334"/>
      <c r="DS185" s="334"/>
      <c r="DT185" s="334"/>
      <c r="DU185" s="334"/>
      <c r="DV185" s="334"/>
      <c r="DW185" s="334"/>
      <c r="DX185" s="334"/>
      <c r="DY185" s="334"/>
      <c r="DZ185" s="334"/>
      <c r="EA185" s="334"/>
      <c r="EB185" s="334"/>
      <c r="EC185" s="334"/>
      <c r="ED185" s="334"/>
      <c r="EE185" s="334"/>
      <c r="EF185" s="334"/>
      <c r="EG185" s="334"/>
      <c r="EH185" s="334"/>
      <c r="EI185" s="334"/>
      <c r="EJ185" s="334"/>
      <c r="EK185" s="334"/>
      <c r="EL185" s="334"/>
      <c r="EM185" s="334"/>
      <c r="EN185" s="334"/>
      <c r="EO185" s="334"/>
      <c r="EP185" s="334"/>
      <c r="EQ185" s="334"/>
      <c r="ER185" s="334"/>
      <c r="ES185" s="334"/>
      <c r="ET185" s="334"/>
      <c r="EU185" s="334"/>
      <c r="EV185" s="334"/>
      <c r="EW185" s="334"/>
      <c r="EX185" s="334"/>
      <c r="EY185" s="334"/>
      <c r="EZ185" s="334"/>
      <c r="FA185" s="334"/>
      <c r="FB185" s="334"/>
      <c r="FC185" s="334"/>
      <c r="FD185" s="334"/>
      <c r="FE185" s="334"/>
      <c r="FF185" s="334"/>
      <c r="FG185" s="334"/>
      <c r="FH185" s="334"/>
      <c r="FI185" s="334"/>
      <c r="FJ185" s="334"/>
      <c r="FK185" s="334"/>
      <c r="FL185" s="334"/>
      <c r="FM185" s="334"/>
      <c r="FN185" s="334"/>
      <c r="FO185" s="334"/>
      <c r="FP185" s="334"/>
      <c r="FQ185" s="334"/>
      <c r="FR185" s="334"/>
      <c r="FS185" s="334"/>
      <c r="FT185" s="334"/>
      <c r="FU185" s="334"/>
      <c r="FV185" s="334"/>
      <c r="FW185" s="334"/>
      <c r="FX185" s="334"/>
      <c r="FY185" s="334"/>
      <c r="FZ185" s="334"/>
      <c r="GA185" s="334"/>
      <c r="GB185" s="334"/>
      <c r="GC185" s="334"/>
      <c r="GD185" s="334"/>
      <c r="GE185" s="334"/>
      <c r="GF185" s="334"/>
      <c r="GG185" s="334"/>
      <c r="GH185" s="334"/>
      <c r="GI185" s="334"/>
      <c r="GJ185" s="334"/>
      <c r="GK185" s="334"/>
      <c r="GL185" s="334"/>
      <c r="GM185" s="334"/>
      <c r="GN185" s="334"/>
      <c r="GO185" s="334"/>
      <c r="GP185" s="334"/>
      <c r="GQ185" s="334"/>
      <c r="GR185" s="334"/>
      <c r="GS185" s="334"/>
      <c r="GT185" s="334"/>
      <c r="GU185" s="334"/>
      <c r="GV185" s="334"/>
      <c r="GW185" s="334"/>
      <c r="GX185" s="334"/>
      <c r="GY185" s="334"/>
      <c r="GZ185" s="334"/>
      <c r="HA185" s="334"/>
      <c r="HB185" s="334"/>
      <c r="HC185" s="334"/>
      <c r="HD185" s="334"/>
      <c r="HE185" s="334"/>
      <c r="HF185" s="334"/>
      <c r="HG185" s="334"/>
      <c r="HH185" s="334"/>
      <c r="HI185" s="334"/>
      <c r="HJ185" s="334"/>
      <c r="HK185" s="334"/>
      <c r="HL185" s="334"/>
      <c r="HM185" s="334"/>
      <c r="HN185" s="334"/>
      <c r="HO185" s="334"/>
      <c r="HP185" s="334"/>
      <c r="HQ185" s="334"/>
      <c r="HR185" s="334"/>
      <c r="HS185" s="334"/>
      <c r="HT185" s="334"/>
      <c r="HU185" s="334"/>
      <c r="HV185" s="334"/>
      <c r="HW185" s="334"/>
      <c r="HX185" s="334"/>
      <c r="HY185" s="334"/>
      <c r="HZ185" s="334"/>
      <c r="IA185" s="334"/>
      <c r="IB185" s="334"/>
      <c r="IC185" s="334"/>
      <c r="ID185" s="334"/>
      <c r="IE185" s="334"/>
      <c r="IF185" s="334"/>
      <c r="IG185" s="334"/>
      <c r="IH185" s="334"/>
      <c r="II185" s="334"/>
      <c r="IJ185" s="334"/>
      <c r="IK185" s="334"/>
      <c r="IL185" s="334"/>
      <c r="IM185" s="334"/>
      <c r="IN185" s="334"/>
      <c r="IO185" s="334"/>
      <c r="IP185" s="334"/>
      <c r="IQ185" s="334"/>
      <c r="IR185" s="334"/>
      <c r="IS185" s="334"/>
      <c r="IT185" s="334"/>
    </row>
    <row r="186" spans="1:254" ht="12.75">
      <c r="A186" s="6"/>
      <c r="B186" s="292"/>
      <c r="C186" s="6"/>
      <c r="D186" s="6"/>
      <c r="E186" s="6"/>
      <c r="F186" s="38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</row>
    <row r="187" spans="1:254" ht="18.75">
      <c r="A187" s="421">
        <v>612</v>
      </c>
      <c r="B187" s="333"/>
      <c r="C187" s="4"/>
      <c r="D187" s="333"/>
      <c r="E187" s="4"/>
      <c r="F187" s="39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ht="18.75">
      <c r="A188" s="422" t="s">
        <v>383</v>
      </c>
      <c r="B188" s="335"/>
      <c r="C188" s="334"/>
      <c r="D188" s="335"/>
      <c r="E188" s="334"/>
      <c r="F188" s="397">
        <f>F182-F187</f>
        <v>8030323.52</v>
      </c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  <c r="AB188" s="334"/>
      <c r="AC188" s="334"/>
      <c r="AD188" s="334"/>
      <c r="AE188" s="334"/>
      <c r="AF188" s="334"/>
      <c r="AG188" s="334"/>
      <c r="AH188" s="334"/>
      <c r="AI188" s="334"/>
      <c r="AJ188" s="334"/>
      <c r="AK188" s="334"/>
      <c r="AL188" s="334"/>
      <c r="AM188" s="334"/>
      <c r="AN188" s="334"/>
      <c r="AO188" s="334"/>
      <c r="AP188" s="334"/>
      <c r="AQ188" s="334"/>
      <c r="AR188" s="334"/>
      <c r="AS188" s="334"/>
      <c r="AT188" s="334"/>
      <c r="AU188" s="334"/>
      <c r="AV188" s="334"/>
      <c r="AW188" s="334"/>
      <c r="AX188" s="334"/>
      <c r="AY188" s="334"/>
      <c r="AZ188" s="334"/>
      <c r="BA188" s="334"/>
      <c r="BB188" s="334"/>
      <c r="BC188" s="334"/>
      <c r="BD188" s="334"/>
      <c r="BE188" s="334"/>
      <c r="BF188" s="334"/>
      <c r="BG188" s="334"/>
      <c r="BH188" s="334"/>
      <c r="BI188" s="334"/>
      <c r="BJ188" s="334"/>
      <c r="BK188" s="334"/>
      <c r="BL188" s="334"/>
      <c r="BM188" s="334"/>
      <c r="BN188" s="334"/>
      <c r="BO188" s="334"/>
      <c r="BP188" s="334"/>
      <c r="BQ188" s="334"/>
      <c r="BR188" s="334"/>
      <c r="BS188" s="334"/>
      <c r="BT188" s="334"/>
      <c r="BU188" s="334"/>
      <c r="BV188" s="334"/>
      <c r="BW188" s="334"/>
      <c r="BX188" s="334"/>
      <c r="BY188" s="334"/>
      <c r="BZ188" s="334"/>
      <c r="CA188" s="334"/>
      <c r="CB188" s="334"/>
      <c r="CC188" s="334"/>
      <c r="CD188" s="334"/>
      <c r="CE188" s="334"/>
      <c r="CF188" s="334"/>
      <c r="CG188" s="334"/>
      <c r="CH188" s="334"/>
      <c r="CI188" s="334"/>
      <c r="CJ188" s="334"/>
      <c r="CK188" s="334"/>
      <c r="CL188" s="334"/>
      <c r="CM188" s="334"/>
      <c r="CN188" s="334"/>
      <c r="CO188" s="334"/>
      <c r="CP188" s="334"/>
      <c r="CQ188" s="334"/>
      <c r="CR188" s="334"/>
      <c r="CS188" s="334"/>
      <c r="CT188" s="334"/>
      <c r="CU188" s="334"/>
      <c r="CV188" s="334"/>
      <c r="CW188" s="334"/>
      <c r="CX188" s="334"/>
      <c r="CY188" s="334"/>
      <c r="CZ188" s="334"/>
      <c r="DA188" s="334"/>
      <c r="DB188" s="334"/>
      <c r="DC188" s="334"/>
      <c r="DD188" s="334"/>
      <c r="DE188" s="334"/>
      <c r="DF188" s="334"/>
      <c r="DG188" s="334"/>
      <c r="DH188" s="334"/>
      <c r="DI188" s="334"/>
      <c r="DJ188" s="334"/>
      <c r="DK188" s="334"/>
      <c r="DL188" s="334"/>
      <c r="DM188" s="334"/>
      <c r="DN188" s="334"/>
      <c r="DO188" s="334"/>
      <c r="DP188" s="334"/>
      <c r="DQ188" s="334"/>
      <c r="DR188" s="334"/>
      <c r="DS188" s="334"/>
      <c r="DT188" s="334"/>
      <c r="DU188" s="334"/>
      <c r="DV188" s="334"/>
      <c r="DW188" s="334"/>
      <c r="DX188" s="334"/>
      <c r="DY188" s="334"/>
      <c r="DZ188" s="334"/>
      <c r="EA188" s="334"/>
      <c r="EB188" s="334"/>
      <c r="EC188" s="334"/>
      <c r="ED188" s="334"/>
      <c r="EE188" s="334"/>
      <c r="EF188" s="334"/>
      <c r="EG188" s="334"/>
      <c r="EH188" s="334"/>
      <c r="EI188" s="334"/>
      <c r="EJ188" s="334"/>
      <c r="EK188" s="334"/>
      <c r="EL188" s="334"/>
      <c r="EM188" s="334"/>
      <c r="EN188" s="334"/>
      <c r="EO188" s="334"/>
      <c r="EP188" s="334"/>
      <c r="EQ188" s="334"/>
      <c r="ER188" s="334"/>
      <c r="ES188" s="334"/>
      <c r="ET188" s="334"/>
      <c r="EU188" s="334"/>
      <c r="EV188" s="334"/>
      <c r="EW188" s="334"/>
      <c r="EX188" s="334"/>
      <c r="EY188" s="334"/>
      <c r="EZ188" s="334"/>
      <c r="FA188" s="334"/>
      <c r="FB188" s="334"/>
      <c r="FC188" s="334"/>
      <c r="FD188" s="334"/>
      <c r="FE188" s="334"/>
      <c r="FF188" s="334"/>
      <c r="FG188" s="334"/>
      <c r="FH188" s="334"/>
      <c r="FI188" s="334"/>
      <c r="FJ188" s="334"/>
      <c r="FK188" s="334"/>
      <c r="FL188" s="334"/>
      <c r="FM188" s="334"/>
      <c r="FN188" s="334"/>
      <c r="FO188" s="334"/>
      <c r="FP188" s="334"/>
      <c r="FQ188" s="334"/>
      <c r="FR188" s="334"/>
      <c r="FS188" s="334"/>
      <c r="FT188" s="334"/>
      <c r="FU188" s="334"/>
      <c r="FV188" s="334"/>
      <c r="FW188" s="334"/>
      <c r="FX188" s="334"/>
      <c r="FY188" s="334"/>
      <c r="FZ188" s="334"/>
      <c r="GA188" s="334"/>
      <c r="GB188" s="334"/>
      <c r="GC188" s="334"/>
      <c r="GD188" s="334"/>
      <c r="GE188" s="334"/>
      <c r="GF188" s="334"/>
      <c r="GG188" s="334"/>
      <c r="GH188" s="334"/>
      <c r="GI188" s="334"/>
      <c r="GJ188" s="334"/>
      <c r="GK188" s="334"/>
      <c r="GL188" s="334"/>
      <c r="GM188" s="334"/>
      <c r="GN188" s="334"/>
      <c r="GO188" s="334"/>
      <c r="GP188" s="334"/>
      <c r="GQ188" s="334"/>
      <c r="GR188" s="334"/>
      <c r="GS188" s="334"/>
      <c r="GT188" s="334"/>
      <c r="GU188" s="334"/>
      <c r="GV188" s="334"/>
      <c r="GW188" s="334"/>
      <c r="GX188" s="334"/>
      <c r="GY188" s="334"/>
      <c r="GZ188" s="334"/>
      <c r="HA188" s="334"/>
      <c r="HB188" s="334"/>
      <c r="HC188" s="334"/>
      <c r="HD188" s="334"/>
      <c r="HE188" s="334"/>
      <c r="HF188" s="334"/>
      <c r="HG188" s="334"/>
      <c r="HH188" s="334"/>
      <c r="HI188" s="334"/>
      <c r="HJ188" s="334"/>
      <c r="HK188" s="334"/>
      <c r="HL188" s="334"/>
      <c r="HM188" s="334"/>
      <c r="HN188" s="334"/>
      <c r="HO188" s="334"/>
      <c r="HP188" s="334"/>
      <c r="HQ188" s="334"/>
      <c r="HR188" s="334"/>
      <c r="HS188" s="334"/>
      <c r="HT188" s="334"/>
      <c r="HU188" s="334"/>
      <c r="HV188" s="334"/>
      <c r="HW188" s="334"/>
      <c r="HX188" s="334"/>
      <c r="HY188" s="334"/>
      <c r="HZ188" s="334"/>
      <c r="IA188" s="334"/>
      <c r="IB188" s="334"/>
      <c r="IC188" s="334"/>
      <c r="ID188" s="334"/>
      <c r="IE188" s="334"/>
      <c r="IF188" s="334"/>
      <c r="IG188" s="334"/>
      <c r="IH188" s="334"/>
      <c r="II188" s="334"/>
      <c r="IJ188" s="334"/>
      <c r="IK188" s="334"/>
      <c r="IL188" s="334"/>
      <c r="IM188" s="334"/>
      <c r="IN188" s="334"/>
      <c r="IO188" s="334"/>
      <c r="IP188" s="334"/>
      <c r="IQ188" s="334"/>
      <c r="IR188" s="334"/>
      <c r="IS188" s="334"/>
      <c r="IT188" s="334"/>
    </row>
    <row r="189" spans="1:25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</row>
    <row r="190" spans="1:25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</sheetData>
  <sheetProtection/>
  <mergeCells count="30">
    <mergeCell ref="B141:B143"/>
    <mergeCell ref="B48:B69"/>
    <mergeCell ref="A2:D2"/>
    <mergeCell ref="A3:D3"/>
    <mergeCell ref="A5:D5"/>
    <mergeCell ref="A6:D6"/>
    <mergeCell ref="A11:A13"/>
    <mergeCell ref="B11:B13"/>
    <mergeCell ref="C11:C12"/>
    <mergeCell ref="B132:B134"/>
    <mergeCell ref="B184:C184"/>
    <mergeCell ref="D12:D13"/>
    <mergeCell ref="A176:D176"/>
    <mergeCell ref="A178:D178"/>
    <mergeCell ref="B179:B181"/>
    <mergeCell ref="B103:B125"/>
    <mergeCell ref="B27:B34"/>
    <mergeCell ref="B35:B36"/>
    <mergeCell ref="A182:B182"/>
    <mergeCell ref="B135:B137"/>
    <mergeCell ref="B156:B157"/>
    <mergeCell ref="B138:B140"/>
    <mergeCell ref="A15:D15"/>
    <mergeCell ref="B18:B20"/>
    <mergeCell ref="B37:B43"/>
    <mergeCell ref="B44:B47"/>
    <mergeCell ref="B70:B86"/>
    <mergeCell ref="B94:B95"/>
    <mergeCell ref="B144:B154"/>
    <mergeCell ref="B96:B102"/>
  </mergeCells>
  <printOptions/>
  <pageMargins left="0.7" right="0.7" top="0.75" bottom="0.75" header="0.3" footer="0.3"/>
  <pageSetup fitToHeight="0" horizontalDpi="600" verticalDpi="600" orientation="portrait" paperSize="9" scale="72" r:id="rId1"/>
  <rowBreaks count="1" manualBreakCount="1"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Наташа</cp:lastModifiedBy>
  <cp:lastPrinted>2022-09-08T12:52:14Z</cp:lastPrinted>
  <dcterms:created xsi:type="dcterms:W3CDTF">2004-09-19T06:34:55Z</dcterms:created>
  <dcterms:modified xsi:type="dcterms:W3CDTF">2022-09-08T12:52:40Z</dcterms:modified>
  <cp:category/>
  <cp:version/>
  <cp:contentType/>
  <cp:contentStatus/>
</cp:coreProperties>
</file>